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armin.perez\Desktop\plan de compras 2023\"/>
    </mc:Choice>
  </mc:AlternateContent>
  <bookViews>
    <workbookView xWindow="0" yWindow="0" windowWidth="20490" windowHeight="7650"/>
  </bookViews>
  <sheets>
    <sheet name="Hoja1" sheetId="1" r:id="rId1"/>
  </sheets>
  <externalReferences>
    <externalReference r:id="rId2"/>
  </externalReferences>
  <definedNames>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Hoja1!$E:$E</definedName>
    <definedName name="TotalEstColumnValue">Hoja1!$F:$F</definedName>
    <definedName name="TotalEstLabel">'[1]Informacion '!$U$3</definedName>
    <definedName name="UnidadesList">'[1]Informacion '!$Q$3:$Q$43</definedName>
    <definedName name="UNSPSCCode">[1]UNSPSC!$A$1:$A$18298</definedName>
    <definedName name="UNSPSCDes">[1]UNSPSC!$B$1:$B$18298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53" i="1" l="1"/>
  <c r="C2651" i="1"/>
  <c r="C2642" i="1"/>
  <c r="C2640" i="1"/>
  <c r="C2631" i="1"/>
  <c r="C2629" i="1"/>
  <c r="C2620" i="1"/>
  <c r="C2618" i="1"/>
  <c r="C2609" i="1"/>
  <c r="C2607" i="1"/>
  <c r="C2598" i="1"/>
  <c r="C2596" i="1"/>
  <c r="C2587" i="1"/>
  <c r="C2585" i="1"/>
  <c r="C2576" i="1"/>
  <c r="C2574" i="1"/>
  <c r="C2564" i="1"/>
  <c r="C2562" i="1"/>
  <c r="C2553" i="1"/>
  <c r="C2551" i="1"/>
  <c r="C2542" i="1"/>
  <c r="C2540" i="1"/>
  <c r="C2531" i="1"/>
  <c r="C2529" i="1"/>
  <c r="C2520" i="1"/>
  <c r="C2518" i="1"/>
  <c r="C2509" i="1"/>
  <c r="C2507" i="1"/>
  <c r="C2498" i="1"/>
  <c r="C2496" i="1"/>
  <c r="C2487" i="1"/>
  <c r="C2485" i="1"/>
  <c r="C2476" i="1"/>
  <c r="C2474" i="1"/>
  <c r="C2465" i="1"/>
  <c r="C2463" i="1"/>
  <c r="C2454" i="1"/>
  <c r="C2452" i="1"/>
  <c r="C2443" i="1"/>
  <c r="C2441" i="1"/>
  <c r="C2432" i="1"/>
  <c r="C2430" i="1"/>
  <c r="C2421" i="1"/>
  <c r="C2419" i="1"/>
  <c r="C2410" i="1"/>
  <c r="C2408" i="1"/>
  <c r="C2399" i="1"/>
  <c r="C2397" i="1"/>
  <c r="C2388" i="1"/>
  <c r="C2386" i="1"/>
  <c r="C2377" i="1"/>
  <c r="C2375" i="1"/>
  <c r="C2366" i="1"/>
  <c r="C2364" i="1"/>
  <c r="C2354" i="1"/>
  <c r="C2352" i="1"/>
  <c r="C2343" i="1"/>
  <c r="C2341" i="1"/>
  <c r="C2331" i="1"/>
  <c r="C2329" i="1"/>
  <c r="C2317" i="1"/>
  <c r="C2315" i="1"/>
  <c r="C2302" i="1"/>
  <c r="C2300" i="1"/>
  <c r="C2258" i="1"/>
  <c r="C2256" i="1"/>
  <c r="C2246" i="1"/>
  <c r="C2244" i="1"/>
  <c r="C2212" i="1"/>
  <c r="C2210" i="1"/>
  <c r="C2191" i="1"/>
  <c r="C2189" i="1"/>
  <c r="C2081" i="1"/>
  <c r="C2079" i="1"/>
  <c r="C2069" i="1"/>
  <c r="C2067" i="1"/>
  <c r="C2055" i="1"/>
  <c r="C2053" i="1"/>
  <c r="C2043" i="1"/>
  <c r="C2041" i="1"/>
  <c r="C2032" i="1"/>
  <c r="C2030" i="1"/>
  <c r="C2021" i="1"/>
  <c r="C2019" i="1"/>
  <c r="C2010" i="1"/>
  <c r="C2008" i="1"/>
  <c r="C1999" i="1"/>
  <c r="C1997" i="1"/>
  <c r="C1988" i="1"/>
  <c r="C1986" i="1"/>
  <c r="C1977" i="1"/>
  <c r="C1975" i="1"/>
  <c r="C1966" i="1"/>
  <c r="C1964" i="1"/>
  <c r="C1955" i="1"/>
  <c r="C1953" i="1"/>
  <c r="C1944" i="1"/>
  <c r="C1942" i="1"/>
  <c r="C1933" i="1"/>
  <c r="C1931" i="1"/>
  <c r="C1922" i="1"/>
  <c r="C1920" i="1"/>
  <c r="C1910" i="1"/>
  <c r="C1908" i="1"/>
  <c r="C1897" i="1"/>
  <c r="C1895" i="1"/>
  <c r="C1886" i="1"/>
  <c r="C1884" i="1"/>
  <c r="C1875" i="1"/>
  <c r="C1873" i="1"/>
  <c r="C1864" i="1"/>
  <c r="C1862" i="1"/>
  <c r="C1852" i="1"/>
  <c r="C1850" i="1"/>
  <c r="C1841" i="1"/>
  <c r="C1839" i="1"/>
  <c r="C1830" i="1"/>
  <c r="C1828" i="1"/>
  <c r="C1817" i="1"/>
  <c r="C1815" i="1"/>
  <c r="C1801" i="1"/>
  <c r="C1799" i="1"/>
  <c r="C1786" i="1"/>
  <c r="C1784" i="1"/>
  <c r="C1750" i="1"/>
  <c r="C1748" i="1"/>
  <c r="C1721" i="1"/>
  <c r="C1719" i="1"/>
  <c r="C1709" i="1"/>
  <c r="C1707" i="1"/>
  <c r="C1688" i="1"/>
  <c r="C1686" i="1"/>
  <c r="C1674" i="1"/>
  <c r="C1672" i="1"/>
  <c r="C1609" i="1"/>
  <c r="C1607" i="1"/>
  <c r="C1598" i="1"/>
  <c r="C1596" i="1"/>
  <c r="C1587" i="1"/>
  <c r="C1585" i="1"/>
  <c r="C1576" i="1"/>
  <c r="C1574" i="1"/>
  <c r="C1565" i="1"/>
  <c r="C1563" i="1"/>
  <c r="C1553" i="1"/>
  <c r="C1551" i="1"/>
  <c r="C1541" i="1"/>
  <c r="C1539" i="1"/>
  <c r="C1530" i="1"/>
  <c r="C1528" i="1"/>
  <c r="C1516" i="1"/>
  <c r="C1514" i="1"/>
  <c r="C1505" i="1"/>
  <c r="C1503" i="1"/>
  <c r="C1491" i="1"/>
  <c r="C1489" i="1"/>
  <c r="C1480" i="1"/>
  <c r="C1478" i="1"/>
  <c r="C1468" i="1"/>
  <c r="C1466" i="1"/>
  <c r="C1455" i="1"/>
  <c r="C1453" i="1"/>
  <c r="C1444" i="1"/>
  <c r="C1442" i="1"/>
  <c r="C1433" i="1"/>
  <c r="C1431" i="1"/>
  <c r="C1422" i="1"/>
  <c r="C1420" i="1"/>
  <c r="C1411" i="1"/>
  <c r="C1409" i="1"/>
  <c r="C1400" i="1"/>
  <c r="C1398" i="1"/>
  <c r="C1387" i="1"/>
  <c r="C1385" i="1"/>
  <c r="C1376" i="1"/>
  <c r="C1374" i="1"/>
  <c r="C1365" i="1"/>
  <c r="C1363" i="1"/>
  <c r="C1354" i="1"/>
  <c r="C1352" i="1"/>
  <c r="C1343" i="1"/>
  <c r="C1341" i="1"/>
  <c r="C1332" i="1"/>
  <c r="C1330" i="1"/>
  <c r="C1317" i="1"/>
  <c r="C1315" i="1"/>
  <c r="C1306" i="1"/>
  <c r="C1304" i="1"/>
  <c r="C1295" i="1"/>
  <c r="C1293" i="1"/>
  <c r="C1284" i="1"/>
  <c r="C1282" i="1"/>
  <c r="C1268" i="1"/>
  <c r="C1266" i="1"/>
  <c r="C1257" i="1"/>
  <c r="C1255" i="1"/>
  <c r="C1245" i="1"/>
  <c r="C1243" i="1"/>
  <c r="C1234" i="1"/>
  <c r="C1232" i="1"/>
  <c r="C1223" i="1"/>
  <c r="C1221" i="1"/>
  <c r="C1212" i="1"/>
  <c r="C1210" i="1"/>
  <c r="C1201" i="1"/>
  <c r="C1199" i="1"/>
  <c r="C1189" i="1"/>
  <c r="C1187" i="1"/>
  <c r="C1177" i="1"/>
  <c r="C1175" i="1"/>
  <c r="C1166" i="1"/>
  <c r="C1164" i="1"/>
  <c r="C1153" i="1"/>
  <c r="C1151" i="1"/>
  <c r="C1139" i="1"/>
  <c r="C1137" i="1"/>
  <c r="C1112" i="1"/>
  <c r="C1110" i="1"/>
  <c r="C1100" i="1"/>
  <c r="C1098" i="1"/>
  <c r="C1074" i="1"/>
  <c r="C1072" i="1"/>
  <c r="C1058" i="1"/>
  <c r="C1056" i="1"/>
  <c r="C1024" i="1"/>
  <c r="C1022" i="1"/>
  <c r="C1013" i="1"/>
  <c r="C1011" i="1"/>
  <c r="C1001" i="1"/>
  <c r="C999" i="1"/>
  <c r="C990" i="1"/>
  <c r="C988" i="1"/>
  <c r="C979" i="1"/>
  <c r="C977" i="1"/>
  <c r="C968" i="1"/>
  <c r="C966" i="1"/>
  <c r="C957" i="1"/>
  <c r="C955" i="1"/>
  <c r="C943" i="1"/>
  <c r="C941" i="1"/>
  <c r="C931" i="1"/>
  <c r="C929" i="1"/>
  <c r="C916" i="1"/>
  <c r="C914" i="1"/>
  <c r="C905" i="1"/>
  <c r="C903" i="1"/>
  <c r="C885" i="1"/>
  <c r="C883" i="1"/>
  <c r="C874" i="1"/>
  <c r="C872" i="1"/>
  <c r="C863" i="1"/>
  <c r="C861" i="1"/>
  <c r="C848" i="1"/>
  <c r="C846" i="1"/>
  <c r="C837" i="1"/>
  <c r="C835" i="1"/>
  <c r="C826" i="1"/>
  <c r="C824" i="1"/>
  <c r="C814" i="1"/>
  <c r="C812" i="1"/>
  <c r="C803" i="1"/>
  <c r="C801" i="1"/>
  <c r="C792" i="1"/>
  <c r="C790" i="1"/>
  <c r="C781" i="1"/>
  <c r="C779" i="1"/>
  <c r="C770" i="1"/>
  <c r="C768" i="1"/>
  <c r="C759" i="1"/>
  <c r="C757" i="1"/>
  <c r="C746" i="1"/>
  <c r="C744" i="1"/>
  <c r="C724" i="1"/>
  <c r="C722" i="1"/>
  <c r="C709" i="1"/>
  <c r="C707" i="1"/>
  <c r="C696" i="1"/>
  <c r="C694" i="1"/>
  <c r="C685" i="1"/>
  <c r="C683" i="1"/>
  <c r="C674" i="1"/>
  <c r="C672" i="1"/>
  <c r="C662" i="1"/>
  <c r="C660" i="1"/>
  <c r="C651" i="1"/>
  <c r="C649" i="1"/>
  <c r="C640" i="1"/>
  <c r="C638" i="1"/>
  <c r="C629" i="1"/>
  <c r="C627" i="1"/>
  <c r="C616" i="1"/>
  <c r="C614" i="1"/>
  <c r="C605" i="1"/>
  <c r="C603" i="1"/>
  <c r="C594" i="1"/>
  <c r="C592" i="1"/>
  <c r="C583" i="1"/>
  <c r="C581" i="1"/>
  <c r="C572" i="1"/>
  <c r="C570" i="1"/>
  <c r="C561" i="1"/>
  <c r="C559" i="1"/>
  <c r="C550" i="1"/>
  <c r="C548" i="1"/>
  <c r="C539" i="1"/>
  <c r="C537" i="1"/>
  <c r="C526" i="1"/>
  <c r="C524" i="1"/>
  <c r="C515" i="1"/>
  <c r="C513" i="1"/>
  <c r="C504" i="1"/>
  <c r="C502" i="1"/>
  <c r="C493" i="1"/>
  <c r="C491" i="1"/>
  <c r="C481" i="1"/>
  <c r="C479" i="1"/>
  <c r="C470" i="1"/>
  <c r="C468" i="1"/>
  <c r="C459" i="1"/>
  <c r="C457" i="1"/>
  <c r="C448" i="1"/>
  <c r="C446" i="1"/>
  <c r="C435" i="1"/>
  <c r="C433" i="1"/>
  <c r="C424" i="1"/>
  <c r="C422" i="1"/>
  <c r="C411" i="1"/>
  <c r="C409" i="1"/>
  <c r="C400" i="1"/>
  <c r="C398" i="1"/>
  <c r="C389" i="1"/>
  <c r="C387" i="1"/>
  <c r="C375" i="1"/>
  <c r="C373" i="1"/>
  <c r="C364" i="1"/>
  <c r="C362" i="1"/>
  <c r="C353" i="1"/>
  <c r="C351" i="1"/>
  <c r="C339" i="1"/>
  <c r="C337" i="1"/>
  <c r="C328" i="1"/>
  <c r="C326" i="1"/>
  <c r="C317" i="1"/>
  <c r="C315" i="1"/>
  <c r="C306" i="1"/>
  <c r="C304" i="1"/>
  <c r="C294" i="1"/>
  <c r="C292" i="1"/>
  <c r="C256" i="1"/>
  <c r="C254" i="1"/>
  <c r="C242" i="1"/>
  <c r="C240" i="1"/>
  <c r="C229" i="1"/>
  <c r="C227" i="1"/>
  <c r="C182" i="1"/>
  <c r="C180" i="1"/>
  <c r="C151" i="1"/>
  <c r="C149" i="1"/>
  <c r="C139" i="1"/>
  <c r="C137" i="1"/>
  <c r="C118" i="1"/>
  <c r="C116" i="1"/>
  <c r="C20" i="1"/>
  <c r="C18" i="1"/>
  <c r="B3" i="1"/>
  <c r="B2634" i="1"/>
  <c r="F2623" i="1"/>
  <c r="B2590" i="1"/>
  <c r="F2579" i="1"/>
  <c r="B2567" i="1"/>
  <c r="F2556" i="1"/>
  <c r="B2523" i="1"/>
  <c r="F2512" i="1"/>
  <c r="B2479" i="1"/>
  <c r="F2468" i="1"/>
  <c r="B2435" i="1"/>
  <c r="F2424" i="1"/>
  <c r="B2391" i="1"/>
  <c r="F2380" i="1"/>
  <c r="F2357" i="1"/>
  <c r="F2334" i="1"/>
  <c r="B2322" i="1"/>
  <c r="B2320" i="1"/>
  <c r="F2309" i="1"/>
  <c r="F2307" i="1"/>
  <c r="F2305" i="1"/>
  <c r="B2293" i="1"/>
  <c r="B2291" i="1"/>
  <c r="B2289" i="1"/>
  <c r="B2287" i="1"/>
  <c r="B2285" i="1"/>
  <c r="B2283" i="1"/>
  <c r="B2281" i="1"/>
  <c r="B2279" i="1"/>
  <c r="B2277" i="1"/>
  <c r="B2275" i="1"/>
  <c r="B2273" i="1"/>
  <c r="B2271" i="1"/>
  <c r="B2269" i="1"/>
  <c r="B2267" i="1"/>
  <c r="B2265" i="1"/>
  <c r="B2263" i="1"/>
  <c r="B2261" i="1"/>
  <c r="F2250" i="1"/>
  <c r="B2238" i="1"/>
  <c r="B2236" i="1"/>
  <c r="B2234" i="1"/>
  <c r="B2232" i="1"/>
  <c r="B2230" i="1"/>
  <c r="B2228" i="1"/>
  <c r="B2226" i="1"/>
  <c r="B2224" i="1"/>
  <c r="B2222" i="1"/>
  <c r="B2220" i="1"/>
  <c r="B2218" i="1"/>
  <c r="B2216" i="1"/>
  <c r="F2203" i="1"/>
  <c r="F2201" i="1"/>
  <c r="F2199" i="1"/>
  <c r="F2197" i="1"/>
  <c r="F2195" i="1"/>
  <c r="B2183" i="1"/>
  <c r="B2181" i="1"/>
  <c r="B2179" i="1"/>
  <c r="B2177" i="1"/>
  <c r="B2175" i="1"/>
  <c r="B2173" i="1"/>
  <c r="B2171" i="1"/>
  <c r="B2169" i="1"/>
  <c r="B2167" i="1"/>
  <c r="B2165" i="1"/>
  <c r="B2163" i="1"/>
  <c r="B2161" i="1"/>
  <c r="B2159" i="1"/>
  <c r="B2157" i="1"/>
  <c r="B2155" i="1"/>
  <c r="B2153" i="1"/>
  <c r="B2151" i="1"/>
  <c r="B2149" i="1"/>
  <c r="B2147" i="1"/>
  <c r="B2145" i="1"/>
  <c r="B2143" i="1"/>
  <c r="B2141" i="1"/>
  <c r="B2139" i="1"/>
  <c r="B2137" i="1"/>
  <c r="B2135" i="1"/>
  <c r="B2133" i="1"/>
  <c r="B2131" i="1"/>
  <c r="B2129" i="1"/>
  <c r="B2127" i="1"/>
  <c r="B2125" i="1"/>
  <c r="B2123" i="1"/>
  <c r="B2121" i="1"/>
  <c r="B2119" i="1"/>
  <c r="B2117" i="1"/>
  <c r="B2115" i="1"/>
  <c r="B2113" i="1"/>
  <c r="B2111" i="1"/>
  <c r="B2109" i="1"/>
  <c r="B2107" i="1"/>
  <c r="B2105" i="1"/>
  <c r="B2103" i="1"/>
  <c r="B2101" i="1"/>
  <c r="B2099" i="1"/>
  <c r="B2097" i="1"/>
  <c r="B2095" i="1"/>
  <c r="B2093" i="1"/>
  <c r="B2091" i="1"/>
  <c r="B2089" i="1"/>
  <c r="B2087" i="1"/>
  <c r="B2085" i="1"/>
  <c r="F2656" i="1"/>
  <c r="B2623" i="1"/>
  <c r="F2612" i="1"/>
  <c r="B2579" i="1"/>
  <c r="F2568" i="1"/>
  <c r="B2556" i="1"/>
  <c r="F2545" i="1"/>
  <c r="B2512" i="1"/>
  <c r="F2501" i="1"/>
  <c r="B2468" i="1"/>
  <c r="F2457" i="1"/>
  <c r="B2424" i="1"/>
  <c r="F2413" i="1"/>
  <c r="B2380" i="1"/>
  <c r="F2369" i="1"/>
  <c r="B2357" i="1"/>
  <c r="F2346" i="1"/>
  <c r="B2334" i="1"/>
  <c r="F2323" i="1"/>
  <c r="F2321" i="1"/>
  <c r="B2309" i="1"/>
  <c r="B2307" i="1"/>
  <c r="B2305" i="1"/>
  <c r="F2294" i="1"/>
  <c r="F2292" i="1"/>
  <c r="F2290" i="1"/>
  <c r="F2288" i="1"/>
  <c r="F2286" i="1"/>
  <c r="F2284" i="1"/>
  <c r="F2282" i="1"/>
  <c r="F2280" i="1"/>
  <c r="F2278" i="1"/>
  <c r="F2276" i="1"/>
  <c r="F2274" i="1"/>
  <c r="F2272" i="1"/>
  <c r="F2270" i="1"/>
  <c r="F2268" i="1"/>
  <c r="F2266" i="1"/>
  <c r="F2264" i="1"/>
  <c r="F2262" i="1"/>
  <c r="B2250" i="1"/>
  <c r="F2237" i="1"/>
  <c r="F2235" i="1"/>
  <c r="F2233" i="1"/>
  <c r="F2231" i="1"/>
  <c r="F2229" i="1"/>
  <c r="F2227" i="1"/>
  <c r="F2225" i="1"/>
  <c r="F2223" i="1"/>
  <c r="F2221" i="1"/>
  <c r="F2219" i="1"/>
  <c r="F2217" i="1"/>
  <c r="F2215" i="1"/>
  <c r="B2203" i="1"/>
  <c r="B2201" i="1"/>
  <c r="B2199" i="1"/>
  <c r="B2197" i="1"/>
  <c r="B2195" i="1"/>
  <c r="F2182" i="1"/>
  <c r="F2180" i="1"/>
  <c r="F2178" i="1"/>
  <c r="F2176" i="1"/>
  <c r="F2174" i="1"/>
  <c r="F2172" i="1"/>
  <c r="F2170" i="1"/>
  <c r="F2168" i="1"/>
  <c r="F2166" i="1"/>
  <c r="F2164" i="1"/>
  <c r="F2162" i="1"/>
  <c r="F2160" i="1"/>
  <c r="F2158" i="1"/>
  <c r="F2156" i="1"/>
  <c r="F2154" i="1"/>
  <c r="F2152" i="1"/>
  <c r="F2150" i="1"/>
  <c r="F2148" i="1"/>
  <c r="F2146" i="1"/>
  <c r="F2144" i="1"/>
  <c r="F2142" i="1"/>
  <c r="F2140" i="1"/>
  <c r="F2138" i="1"/>
  <c r="F2136" i="1"/>
  <c r="F2134" i="1"/>
  <c r="F2132" i="1"/>
  <c r="F2130" i="1"/>
  <c r="F2128" i="1"/>
  <c r="F2126" i="1"/>
  <c r="F2124" i="1"/>
  <c r="F2122" i="1"/>
  <c r="F2120" i="1"/>
  <c r="F2118" i="1"/>
  <c r="F2116" i="1"/>
  <c r="F2114" i="1"/>
  <c r="F2112" i="1"/>
  <c r="F2110" i="1"/>
  <c r="F2108" i="1"/>
  <c r="F2106" i="1"/>
  <c r="F2104" i="1"/>
  <c r="F2102" i="1"/>
  <c r="F2100" i="1"/>
  <c r="F2098" i="1"/>
  <c r="F2096" i="1"/>
  <c r="F2094" i="1"/>
  <c r="F2092" i="1"/>
  <c r="F2090" i="1"/>
  <c r="F2088" i="1"/>
  <c r="F2086" i="1"/>
  <c r="F2084" i="1"/>
  <c r="B2072" i="1"/>
  <c r="F2061" i="1"/>
  <c r="F2059" i="1"/>
  <c r="B2047" i="1"/>
  <c r="B2656" i="1"/>
  <c r="F2645" i="1"/>
  <c r="B2612" i="1"/>
  <c r="F2601" i="1"/>
  <c r="B2568" i="1"/>
  <c r="B2545" i="1"/>
  <c r="F2534" i="1"/>
  <c r="B2501" i="1"/>
  <c r="F2490" i="1"/>
  <c r="B2457" i="1"/>
  <c r="F2446" i="1"/>
  <c r="B2413" i="1"/>
  <c r="F2402" i="1"/>
  <c r="B2369" i="1"/>
  <c r="F2358" i="1"/>
  <c r="B2346" i="1"/>
  <c r="F2335" i="1"/>
  <c r="B2323" i="1"/>
  <c r="B2321" i="1"/>
  <c r="F2308" i="1"/>
  <c r="F2306" i="1"/>
  <c r="B2294" i="1"/>
  <c r="B2292" i="1"/>
  <c r="B2290" i="1"/>
  <c r="B2288" i="1"/>
  <c r="B2286" i="1"/>
  <c r="B2284" i="1"/>
  <c r="B2282" i="1"/>
  <c r="B2280" i="1"/>
  <c r="B2278" i="1"/>
  <c r="B2276" i="1"/>
  <c r="B2274" i="1"/>
  <c r="B2272" i="1"/>
  <c r="B2270" i="1"/>
  <c r="B2268" i="1"/>
  <c r="B2266" i="1"/>
  <c r="B2264" i="1"/>
  <c r="B2262" i="1"/>
  <c r="F2249" i="1"/>
  <c r="B2237" i="1"/>
  <c r="B2235" i="1"/>
  <c r="B2233" i="1"/>
  <c r="B2231" i="1"/>
  <c r="B2229" i="1"/>
  <c r="B2227" i="1"/>
  <c r="B2225" i="1"/>
  <c r="B2223" i="1"/>
  <c r="B2221" i="1"/>
  <c r="B2219" i="1"/>
  <c r="B2217" i="1"/>
  <c r="B2215" i="1"/>
  <c r="F2204" i="1"/>
  <c r="F2202" i="1"/>
  <c r="F2200" i="1"/>
  <c r="F2198" i="1"/>
  <c r="F2196" i="1"/>
  <c r="F2194" i="1"/>
  <c r="B2182" i="1"/>
  <c r="B2180" i="1"/>
  <c r="B2178" i="1"/>
  <c r="B2176" i="1"/>
  <c r="B2174" i="1"/>
  <c r="B2172" i="1"/>
  <c r="B2170" i="1"/>
  <c r="B2168" i="1"/>
  <c r="B2166" i="1"/>
  <c r="B2164" i="1"/>
  <c r="B2162" i="1"/>
  <c r="B2160" i="1"/>
  <c r="B2158" i="1"/>
  <c r="B2156" i="1"/>
  <c r="B2154" i="1"/>
  <c r="B2152" i="1"/>
  <c r="B2150" i="1"/>
  <c r="B2148" i="1"/>
  <c r="B2146" i="1"/>
  <c r="B2144" i="1"/>
  <c r="B2142" i="1"/>
  <c r="B2140" i="1"/>
  <c r="B2138" i="1"/>
  <c r="B2136" i="1"/>
  <c r="B2134" i="1"/>
  <c r="B2132" i="1"/>
  <c r="B2130" i="1"/>
  <c r="B2128" i="1"/>
  <c r="B2126" i="1"/>
  <c r="B2124" i="1"/>
  <c r="B2122" i="1"/>
  <c r="B2120" i="1"/>
  <c r="B2118" i="1"/>
  <c r="B2116" i="1"/>
  <c r="B2114" i="1"/>
  <c r="B2112" i="1"/>
  <c r="B2110" i="1"/>
  <c r="B2108" i="1"/>
  <c r="B2106" i="1"/>
  <c r="B2104" i="1"/>
  <c r="B2102" i="1"/>
  <c r="B2100" i="1"/>
  <c r="B2098" i="1"/>
  <c r="B2096" i="1"/>
  <c r="B2094" i="1"/>
  <c r="B2092" i="1"/>
  <c r="B2090" i="1"/>
  <c r="B2088" i="1"/>
  <c r="B2086" i="1"/>
  <c r="B2084" i="1"/>
  <c r="F2073" i="1"/>
  <c r="F2590" i="1"/>
  <c r="F2479" i="1"/>
  <c r="B2446" i="1"/>
  <c r="B2306" i="1"/>
  <c r="F2291" i="1"/>
  <c r="F2283" i="1"/>
  <c r="F2275" i="1"/>
  <c r="F2267" i="1"/>
  <c r="F2234" i="1"/>
  <c r="F2226" i="1"/>
  <c r="F2218" i="1"/>
  <c r="B2204" i="1"/>
  <c r="B2196" i="1"/>
  <c r="F2183" i="1"/>
  <c r="F2175" i="1"/>
  <c r="F2167" i="1"/>
  <c r="F2159" i="1"/>
  <c r="F2151" i="1"/>
  <c r="F2143" i="1"/>
  <c r="F2135" i="1"/>
  <c r="F2127" i="1"/>
  <c r="F2119" i="1"/>
  <c r="F2111" i="1"/>
  <c r="F2103" i="1"/>
  <c r="F2095" i="1"/>
  <c r="F2087" i="1"/>
  <c r="B2073" i="1"/>
  <c r="B2059" i="1"/>
  <c r="B2046" i="1"/>
  <c r="F2035" i="1"/>
  <c r="B2002" i="1"/>
  <c r="F1991" i="1"/>
  <c r="B1958" i="1"/>
  <c r="F1947" i="1"/>
  <c r="B1914" i="1"/>
  <c r="F1901" i="1"/>
  <c r="B1889" i="1"/>
  <c r="F1878" i="1"/>
  <c r="F1855" i="1"/>
  <c r="B1822" i="1"/>
  <c r="B1820" i="1"/>
  <c r="F1809" i="1"/>
  <c r="F1807" i="1"/>
  <c r="F1805" i="1"/>
  <c r="B1793" i="1"/>
  <c r="B1791" i="1"/>
  <c r="B1789" i="1"/>
  <c r="F1778" i="1"/>
  <c r="F1776" i="1"/>
  <c r="F1774" i="1"/>
  <c r="F1772" i="1"/>
  <c r="F1770" i="1"/>
  <c r="F1768" i="1"/>
  <c r="F1766" i="1"/>
  <c r="F1764" i="1"/>
  <c r="F1762" i="1"/>
  <c r="F1760" i="1"/>
  <c r="F1758" i="1"/>
  <c r="F1756" i="1"/>
  <c r="F1754" i="1"/>
  <c r="B1742" i="1"/>
  <c r="B1740" i="1"/>
  <c r="B1738" i="1"/>
  <c r="B1736" i="1"/>
  <c r="B1734" i="1"/>
  <c r="B1732" i="1"/>
  <c r="B1730" i="1"/>
  <c r="B1728" i="1"/>
  <c r="B1726" i="1"/>
  <c r="B1724" i="1"/>
  <c r="F1713" i="1"/>
  <c r="B1701" i="1"/>
  <c r="B1699" i="1"/>
  <c r="B1697" i="1"/>
  <c r="B1695" i="1"/>
  <c r="B1693" i="1"/>
  <c r="B1691" i="1"/>
  <c r="F1680" i="1"/>
  <c r="F1678" i="1"/>
  <c r="B1666" i="1"/>
  <c r="B1664" i="1"/>
  <c r="B1662" i="1"/>
  <c r="B1660" i="1"/>
  <c r="B1658" i="1"/>
  <c r="B1656" i="1"/>
  <c r="B1654" i="1"/>
  <c r="B1652" i="1"/>
  <c r="B1650" i="1"/>
  <c r="B1648" i="1"/>
  <c r="B1646" i="1"/>
  <c r="B1644" i="1"/>
  <c r="B1642" i="1"/>
  <c r="B1640" i="1"/>
  <c r="B1638" i="1"/>
  <c r="B1636" i="1"/>
  <c r="B1634" i="1"/>
  <c r="B1632" i="1"/>
  <c r="B1630" i="1"/>
  <c r="B1628" i="1"/>
  <c r="B1626" i="1"/>
  <c r="B1624" i="1"/>
  <c r="B1622" i="1"/>
  <c r="B1620" i="1"/>
  <c r="B1618" i="1"/>
  <c r="B1616" i="1"/>
  <c r="B1614" i="1"/>
  <c r="B1612" i="1"/>
  <c r="F1601" i="1"/>
  <c r="F2634" i="1"/>
  <c r="B2601" i="1"/>
  <c r="F2523" i="1"/>
  <c r="B2490" i="1"/>
  <c r="F2289" i="1"/>
  <c r="F2281" i="1"/>
  <c r="F2273" i="1"/>
  <c r="F2265" i="1"/>
  <c r="F2232" i="1"/>
  <c r="F2224" i="1"/>
  <c r="F2216" i="1"/>
  <c r="B2202" i="1"/>
  <c r="B2194" i="1"/>
  <c r="F2181" i="1"/>
  <c r="F2173" i="1"/>
  <c r="F2165" i="1"/>
  <c r="F2157" i="1"/>
  <c r="F2149" i="1"/>
  <c r="F2141" i="1"/>
  <c r="F2133" i="1"/>
  <c r="F2125" i="1"/>
  <c r="F2117" i="1"/>
  <c r="F2109" i="1"/>
  <c r="F2101" i="1"/>
  <c r="F2093" i="1"/>
  <c r="F2085" i="1"/>
  <c r="F2072" i="1"/>
  <c r="B2061" i="1"/>
  <c r="F2058" i="1"/>
  <c r="B2035" i="1"/>
  <c r="F2024" i="1"/>
  <c r="B1991" i="1"/>
  <c r="F1980" i="1"/>
  <c r="B1947" i="1"/>
  <c r="F1936" i="1"/>
  <c r="F1913" i="1"/>
  <c r="B1901" i="1"/>
  <c r="B1878" i="1"/>
  <c r="F1867" i="1"/>
  <c r="B1855" i="1"/>
  <c r="F1844" i="1"/>
  <c r="F1821" i="1"/>
  <c r="B1809" i="1"/>
  <c r="B1807" i="1"/>
  <c r="B1805" i="1"/>
  <c r="F1792" i="1"/>
  <c r="F1790" i="1"/>
  <c r="B1778" i="1"/>
  <c r="B1776" i="1"/>
  <c r="B1774" i="1"/>
  <c r="B1772" i="1"/>
  <c r="B1770" i="1"/>
  <c r="B1768" i="1"/>
  <c r="B1766" i="1"/>
  <c r="B1764" i="1"/>
  <c r="B1762" i="1"/>
  <c r="B1760" i="1"/>
  <c r="B1758" i="1"/>
  <c r="B1756" i="1"/>
  <c r="B1754" i="1"/>
  <c r="F1741" i="1"/>
  <c r="F1739" i="1"/>
  <c r="F1737" i="1"/>
  <c r="F1735" i="1"/>
  <c r="F1733" i="1"/>
  <c r="F1731" i="1"/>
  <c r="F1729" i="1"/>
  <c r="F1727" i="1"/>
  <c r="F1725" i="1"/>
  <c r="B1713" i="1"/>
  <c r="F1700" i="1"/>
  <c r="F1698" i="1"/>
  <c r="F1696" i="1"/>
  <c r="F1694" i="1"/>
  <c r="F1692" i="1"/>
  <c r="B1680" i="1"/>
  <c r="B1678" i="1"/>
  <c r="F1665" i="1"/>
  <c r="F1663" i="1"/>
  <c r="F1661" i="1"/>
  <c r="F1659" i="1"/>
  <c r="F1657" i="1"/>
  <c r="F1655" i="1"/>
  <c r="F1653" i="1"/>
  <c r="F1651" i="1"/>
  <c r="F1649" i="1"/>
  <c r="F1647" i="1"/>
  <c r="F1645" i="1"/>
  <c r="F1643" i="1"/>
  <c r="F1641" i="1"/>
  <c r="F1639" i="1"/>
  <c r="F1637" i="1"/>
  <c r="F1635" i="1"/>
  <c r="F1633" i="1"/>
  <c r="F1631" i="1"/>
  <c r="F1629" i="1"/>
  <c r="F1627" i="1"/>
  <c r="F1625" i="1"/>
  <c r="F1623" i="1"/>
  <c r="F1621" i="1"/>
  <c r="F1619" i="1"/>
  <c r="F1617" i="1"/>
  <c r="F1615" i="1"/>
  <c r="F1613" i="1"/>
  <c r="B1601" i="1"/>
  <c r="F1590" i="1"/>
  <c r="B2645" i="1"/>
  <c r="F2567" i="1"/>
  <c r="B2534" i="1"/>
  <c r="F2391" i="1"/>
  <c r="B2358" i="1"/>
  <c r="F2322" i="1"/>
  <c r="F2287" i="1"/>
  <c r="F2279" i="1"/>
  <c r="F2271" i="1"/>
  <c r="F2263" i="1"/>
  <c r="F2238" i="1"/>
  <c r="F2230" i="1"/>
  <c r="F2222" i="1"/>
  <c r="B2200" i="1"/>
  <c r="F2179" i="1"/>
  <c r="F2171" i="1"/>
  <c r="F2163" i="1"/>
  <c r="F2155" i="1"/>
  <c r="F2147" i="1"/>
  <c r="F2139" i="1"/>
  <c r="F2131" i="1"/>
  <c r="F2123" i="1"/>
  <c r="F2115" i="1"/>
  <c r="F2107" i="1"/>
  <c r="F2099" i="1"/>
  <c r="F2091" i="1"/>
  <c r="F2060" i="1"/>
  <c r="B2058" i="1"/>
  <c r="F2047" i="1"/>
  <c r="B2024" i="1"/>
  <c r="F2013" i="1"/>
  <c r="B1980" i="1"/>
  <c r="F1969" i="1"/>
  <c r="B1936" i="1"/>
  <c r="F1925" i="1"/>
  <c r="B1913" i="1"/>
  <c r="F1902" i="1"/>
  <c r="F1900" i="1"/>
  <c r="B1867" i="1"/>
  <c r="F1856" i="1"/>
  <c r="B1844" i="1"/>
  <c r="F1833" i="1"/>
  <c r="B1821" i="1"/>
  <c r="F1808" i="1"/>
  <c r="F1806" i="1"/>
  <c r="F1804" i="1"/>
  <c r="B1792" i="1"/>
  <c r="B1790" i="1"/>
  <c r="F1777" i="1"/>
  <c r="F1775" i="1"/>
  <c r="F1773" i="1"/>
  <c r="F1771" i="1"/>
  <c r="F1769" i="1"/>
  <c r="F1767" i="1"/>
  <c r="F1765" i="1"/>
  <c r="F1763" i="1"/>
  <c r="F1761" i="1"/>
  <c r="F1759" i="1"/>
  <c r="F1757" i="1"/>
  <c r="F1755" i="1"/>
  <c r="F1753" i="1"/>
  <c r="B1741" i="1"/>
  <c r="B1739" i="1"/>
  <c r="B1737" i="1"/>
  <c r="B1735" i="1"/>
  <c r="B1733" i="1"/>
  <c r="B1731" i="1"/>
  <c r="B1729" i="1"/>
  <c r="B1727" i="1"/>
  <c r="B1725" i="1"/>
  <c r="F1712" i="1"/>
  <c r="B1700" i="1"/>
  <c r="B1698" i="1"/>
  <c r="B1696" i="1"/>
  <c r="B1694" i="1"/>
  <c r="B1692" i="1"/>
  <c r="F1679" i="1"/>
  <c r="F1677" i="1"/>
  <c r="B1665" i="1"/>
  <c r="B1663" i="1"/>
  <c r="B1661" i="1"/>
  <c r="B1659" i="1"/>
  <c r="B1657" i="1"/>
  <c r="B1655" i="1"/>
  <c r="B1653" i="1"/>
  <c r="B1651" i="1"/>
  <c r="B1649" i="1"/>
  <c r="B1647" i="1"/>
  <c r="B1645" i="1"/>
  <c r="B1643" i="1"/>
  <c r="B1641" i="1"/>
  <c r="B1639" i="1"/>
  <c r="B1637" i="1"/>
  <c r="B1635" i="1"/>
  <c r="B1633" i="1"/>
  <c r="B1631" i="1"/>
  <c r="B1629" i="1"/>
  <c r="B1627" i="1"/>
  <c r="B1625" i="1"/>
  <c r="B1623" i="1"/>
  <c r="B1621" i="1"/>
  <c r="B1619" i="1"/>
  <c r="B1617" i="1"/>
  <c r="B1615" i="1"/>
  <c r="B1613" i="1"/>
  <c r="B1590" i="1"/>
  <c r="F1579" i="1"/>
  <c r="F1556" i="1"/>
  <c r="B2308" i="1"/>
  <c r="F2285" i="1"/>
  <c r="F2153" i="1"/>
  <c r="F2121" i="1"/>
  <c r="F2089" i="1"/>
  <c r="F2046" i="1"/>
  <c r="B2013" i="1"/>
  <c r="B1902" i="1"/>
  <c r="F1889" i="1"/>
  <c r="B1856" i="1"/>
  <c r="F1822" i="1"/>
  <c r="F1789" i="1"/>
  <c r="B1777" i="1"/>
  <c r="B1769" i="1"/>
  <c r="B1761" i="1"/>
  <c r="B1753" i="1"/>
  <c r="F1740" i="1"/>
  <c r="F1732" i="1"/>
  <c r="F1724" i="1"/>
  <c r="B1712" i="1"/>
  <c r="F1699" i="1"/>
  <c r="F1691" i="1"/>
  <c r="B1679" i="1"/>
  <c r="F1666" i="1"/>
  <c r="F1658" i="1"/>
  <c r="F1650" i="1"/>
  <c r="F1642" i="1"/>
  <c r="F1634" i="1"/>
  <c r="F1626" i="1"/>
  <c r="F1618" i="1"/>
  <c r="B1557" i="1"/>
  <c r="B1544" i="1"/>
  <c r="F1533" i="1"/>
  <c r="B1521" i="1"/>
  <c r="B1519" i="1"/>
  <c r="F1508" i="1"/>
  <c r="B1496" i="1"/>
  <c r="B1494" i="1"/>
  <c r="F1483" i="1"/>
  <c r="B1471" i="1"/>
  <c r="F1460" i="1"/>
  <c r="F1458" i="1"/>
  <c r="B1425" i="1"/>
  <c r="F1414" i="1"/>
  <c r="F1391" i="1"/>
  <c r="B1379" i="1"/>
  <c r="F1368" i="1"/>
  <c r="B1335" i="1"/>
  <c r="F1324" i="1"/>
  <c r="F1322" i="1"/>
  <c r="F1320" i="1"/>
  <c r="B1287" i="1"/>
  <c r="F1276" i="1"/>
  <c r="F1274" i="1"/>
  <c r="F1272" i="1"/>
  <c r="B1260" i="1"/>
  <c r="F1249" i="1"/>
  <c r="B1237" i="1"/>
  <c r="F1226" i="1"/>
  <c r="B1193" i="1"/>
  <c r="F1180" i="1"/>
  <c r="F1157" i="1"/>
  <c r="B1145" i="1"/>
  <c r="B1143" i="1"/>
  <c r="F1130" i="1"/>
  <c r="F1128" i="1"/>
  <c r="F1126" i="1"/>
  <c r="F1124" i="1"/>
  <c r="F1122" i="1"/>
  <c r="F1120" i="1"/>
  <c r="F1118" i="1"/>
  <c r="F1116" i="1"/>
  <c r="B1104" i="1"/>
  <c r="F1091" i="1"/>
  <c r="F1089" i="1"/>
  <c r="F1087" i="1"/>
  <c r="F1085" i="1"/>
  <c r="F1083" i="1"/>
  <c r="F1081" i="1"/>
  <c r="F1079" i="1"/>
  <c r="F1077" i="1"/>
  <c r="B1065" i="1"/>
  <c r="B1063" i="1"/>
  <c r="B1061" i="1"/>
  <c r="F1050" i="1"/>
  <c r="F1048" i="1"/>
  <c r="F1046" i="1"/>
  <c r="F1044" i="1"/>
  <c r="F1042" i="1"/>
  <c r="F1040" i="1"/>
  <c r="F1038" i="1"/>
  <c r="F1036" i="1"/>
  <c r="F1034" i="1"/>
  <c r="F1032" i="1"/>
  <c r="F1030" i="1"/>
  <c r="F1028" i="1"/>
  <c r="B1016" i="1"/>
  <c r="F1005" i="1"/>
  <c r="B993" i="1"/>
  <c r="F982" i="1"/>
  <c r="B949" i="1"/>
  <c r="B947" i="1"/>
  <c r="F934" i="1"/>
  <c r="B922" i="1"/>
  <c r="B920" i="1"/>
  <c r="B897" i="1"/>
  <c r="B2402" i="1"/>
  <c r="F2320" i="1"/>
  <c r="F2277" i="1"/>
  <c r="F2236" i="1"/>
  <c r="F2177" i="1"/>
  <c r="F2145" i="1"/>
  <c r="F2113" i="1"/>
  <c r="B2060" i="1"/>
  <c r="F1914" i="1"/>
  <c r="B1900" i="1"/>
  <c r="B1833" i="1"/>
  <c r="F1820" i="1"/>
  <c r="B1808" i="1"/>
  <c r="B1775" i="1"/>
  <c r="B1767" i="1"/>
  <c r="B1759" i="1"/>
  <c r="F1738" i="1"/>
  <c r="F1730" i="1"/>
  <c r="F1697" i="1"/>
  <c r="B1677" i="1"/>
  <c r="F1664" i="1"/>
  <c r="F1656" i="1"/>
  <c r="F1648" i="1"/>
  <c r="F1640" i="1"/>
  <c r="F1632" i="1"/>
  <c r="F1624" i="1"/>
  <c r="F1616" i="1"/>
  <c r="B1556" i="1"/>
  <c r="F1545" i="1"/>
  <c r="B1533" i="1"/>
  <c r="F1522" i="1"/>
  <c r="F1520" i="1"/>
  <c r="B1508" i="1"/>
  <c r="F1497" i="1"/>
  <c r="F1495" i="1"/>
  <c r="B1483" i="1"/>
  <c r="F1472" i="1"/>
  <c r="B1460" i="1"/>
  <c r="B1458" i="1"/>
  <c r="F1447" i="1"/>
  <c r="B1414" i="1"/>
  <c r="F1403" i="1"/>
  <c r="B1391" i="1"/>
  <c r="B1368" i="1"/>
  <c r="F1357" i="1"/>
  <c r="B1324" i="1"/>
  <c r="B1322" i="1"/>
  <c r="B1320" i="1"/>
  <c r="F1309" i="1"/>
  <c r="B1276" i="1"/>
  <c r="B1274" i="1"/>
  <c r="B1272" i="1"/>
  <c r="B1249" i="1"/>
  <c r="B1226" i="1"/>
  <c r="F1215" i="1"/>
  <c r="F1192" i="1"/>
  <c r="B1180" i="1"/>
  <c r="F1169" i="1"/>
  <c r="B1157" i="1"/>
  <c r="F1144" i="1"/>
  <c r="F1142" i="1"/>
  <c r="B1130" i="1"/>
  <c r="B1128" i="1"/>
  <c r="B1126" i="1"/>
  <c r="B1124" i="1"/>
  <c r="B1122" i="1"/>
  <c r="B1120" i="1"/>
  <c r="B1118" i="1"/>
  <c r="B1116" i="1"/>
  <c r="F1103" i="1"/>
  <c r="B1091" i="1"/>
  <c r="B1089" i="1"/>
  <c r="B1087" i="1"/>
  <c r="B1085" i="1"/>
  <c r="B1083" i="1"/>
  <c r="B1081" i="1"/>
  <c r="B1079" i="1"/>
  <c r="B1077" i="1"/>
  <c r="F1066" i="1"/>
  <c r="F1064" i="1"/>
  <c r="F1062" i="1"/>
  <c r="B1050" i="1"/>
  <c r="B1048" i="1"/>
  <c r="B1046" i="1"/>
  <c r="B1044" i="1"/>
  <c r="B1042" i="1"/>
  <c r="B1040" i="1"/>
  <c r="B1038" i="1"/>
  <c r="B1036" i="1"/>
  <c r="B1034" i="1"/>
  <c r="B1032" i="1"/>
  <c r="B1030" i="1"/>
  <c r="B1028" i="1"/>
  <c r="B1005" i="1"/>
  <c r="B982" i="1"/>
  <c r="F971" i="1"/>
  <c r="F948" i="1"/>
  <c r="F946" i="1"/>
  <c r="B934" i="1"/>
  <c r="F923" i="1"/>
  <c r="F921" i="1"/>
  <c r="F919" i="1"/>
  <c r="F896" i="1"/>
  <c r="F894" i="1"/>
  <c r="F892" i="1"/>
  <c r="F890" i="1"/>
  <c r="F888" i="1"/>
  <c r="B855" i="1"/>
  <c r="B853" i="1"/>
  <c r="B851" i="1"/>
  <c r="F840" i="1"/>
  <c r="F2435" i="1"/>
  <c r="B2335" i="1"/>
  <c r="F2269" i="1"/>
  <c r="B2249" i="1"/>
  <c r="F2228" i="1"/>
  <c r="B2198" i="1"/>
  <c r="F2169" i="1"/>
  <c r="F2137" i="1"/>
  <c r="F2105" i="1"/>
  <c r="F1958" i="1"/>
  <c r="B1925" i="1"/>
  <c r="B1806" i="1"/>
  <c r="F1793" i="1"/>
  <c r="B1773" i="1"/>
  <c r="B1765" i="1"/>
  <c r="B1757" i="1"/>
  <c r="F1736" i="1"/>
  <c r="F1728" i="1"/>
  <c r="F1695" i="1"/>
  <c r="F1662" i="1"/>
  <c r="F1654" i="1"/>
  <c r="F1646" i="1"/>
  <c r="F1638" i="1"/>
  <c r="F1630" i="1"/>
  <c r="F1622" i="1"/>
  <c r="F1614" i="1"/>
  <c r="F1568" i="1"/>
  <c r="B1545" i="1"/>
  <c r="B1522" i="1"/>
  <c r="B1520" i="1"/>
  <c r="B1497" i="1"/>
  <c r="B1495" i="1"/>
  <c r="B1472" i="1"/>
  <c r="F1459" i="1"/>
  <c r="B1447" i="1"/>
  <c r="F1436" i="1"/>
  <c r="B1403" i="1"/>
  <c r="F1392" i="1"/>
  <c r="F1390" i="1"/>
  <c r="B1357" i="1"/>
  <c r="F1346" i="1"/>
  <c r="F1323" i="1"/>
  <c r="F1321" i="1"/>
  <c r="B1309" i="1"/>
  <c r="F1298" i="1"/>
  <c r="F1275" i="1"/>
  <c r="F1273" i="1"/>
  <c r="F1271" i="1"/>
  <c r="F1248" i="1"/>
  <c r="B1215" i="1"/>
  <c r="F1204" i="1"/>
  <c r="B1192" i="1"/>
  <c r="F1181" i="1"/>
  <c r="B1169" i="1"/>
  <c r="F1158" i="1"/>
  <c r="F1156" i="1"/>
  <c r="B1144" i="1"/>
  <c r="B1142" i="1"/>
  <c r="F1131" i="1"/>
  <c r="F1129" i="1"/>
  <c r="F1127" i="1"/>
  <c r="F1125" i="1"/>
  <c r="F1123" i="1"/>
  <c r="F1121" i="1"/>
  <c r="F1119" i="1"/>
  <c r="F1117" i="1"/>
  <c r="F1115" i="1"/>
  <c r="B1103" i="1"/>
  <c r="F1092" i="1"/>
  <c r="F1090" i="1"/>
  <c r="F1088" i="1"/>
  <c r="F1086" i="1"/>
  <c r="F1084" i="1"/>
  <c r="F1082" i="1"/>
  <c r="F1080" i="1"/>
  <c r="F1078" i="1"/>
  <c r="B1066" i="1"/>
  <c r="B1064" i="1"/>
  <c r="B1062" i="1"/>
  <c r="F1049" i="1"/>
  <c r="F1047" i="1"/>
  <c r="F1045" i="1"/>
  <c r="F1043" i="1"/>
  <c r="F1041" i="1"/>
  <c r="F1039" i="1"/>
  <c r="F1037" i="1"/>
  <c r="F1035" i="1"/>
  <c r="F1033" i="1"/>
  <c r="F1031" i="1"/>
  <c r="F1029" i="1"/>
  <c r="F1027" i="1"/>
  <c r="F1004" i="1"/>
  <c r="B971" i="1"/>
  <c r="F960" i="1"/>
  <c r="B948" i="1"/>
  <c r="B946" i="1"/>
  <c r="F935" i="1"/>
  <c r="B923" i="1"/>
  <c r="B921" i="1"/>
  <c r="B919" i="1"/>
  <c r="F908" i="1"/>
  <c r="B896" i="1"/>
  <c r="B894" i="1"/>
  <c r="B892" i="1"/>
  <c r="B890" i="1"/>
  <c r="B888" i="1"/>
  <c r="F877" i="1"/>
  <c r="F854" i="1"/>
  <c r="F852" i="1"/>
  <c r="B840" i="1"/>
  <c r="F829" i="1"/>
  <c r="F2161" i="1"/>
  <c r="B1755" i="1"/>
  <c r="F1734" i="1"/>
  <c r="F1693" i="1"/>
  <c r="F1644" i="1"/>
  <c r="F1612" i="1"/>
  <c r="F1544" i="1"/>
  <c r="F1471" i="1"/>
  <c r="B1459" i="1"/>
  <c r="F1425" i="1"/>
  <c r="B1392" i="1"/>
  <c r="F1379" i="1"/>
  <c r="B1346" i="1"/>
  <c r="B1321" i="1"/>
  <c r="F1287" i="1"/>
  <c r="B1275" i="1"/>
  <c r="F1237" i="1"/>
  <c r="B1204" i="1"/>
  <c r="B1156" i="1"/>
  <c r="F1143" i="1"/>
  <c r="B1129" i="1"/>
  <c r="B1121" i="1"/>
  <c r="B1086" i="1"/>
  <c r="B1078" i="1"/>
  <c r="F1063" i="1"/>
  <c r="B1043" i="1"/>
  <c r="B1035" i="1"/>
  <c r="B1027" i="1"/>
  <c r="F922" i="1"/>
  <c r="B908" i="1"/>
  <c r="F895" i="1"/>
  <c r="F891" i="1"/>
  <c r="F853" i="1"/>
  <c r="B817" i="1"/>
  <c r="F806" i="1"/>
  <c r="B773" i="1"/>
  <c r="F762" i="1"/>
  <c r="B750" i="1"/>
  <c r="F737" i="1"/>
  <c r="F735" i="1"/>
  <c r="F733" i="1"/>
  <c r="F731" i="1"/>
  <c r="F729" i="1"/>
  <c r="F727" i="1"/>
  <c r="B715" i="1"/>
  <c r="B713" i="1"/>
  <c r="F700" i="1"/>
  <c r="B688" i="1"/>
  <c r="F677" i="1"/>
  <c r="B665" i="1"/>
  <c r="F654" i="1"/>
  <c r="B621" i="1"/>
  <c r="B619" i="1"/>
  <c r="F608" i="1"/>
  <c r="B575" i="1"/>
  <c r="F564" i="1"/>
  <c r="B531" i="1"/>
  <c r="B529" i="1"/>
  <c r="F518" i="1"/>
  <c r="B485" i="1"/>
  <c r="B462" i="1"/>
  <c r="F451" i="1"/>
  <c r="B439" i="1"/>
  <c r="B416" i="1"/>
  <c r="B414" i="1"/>
  <c r="F403" i="1"/>
  <c r="F380" i="1"/>
  <c r="F378" i="1"/>
  <c r="B345" i="1"/>
  <c r="B343" i="1"/>
  <c r="B320" i="1"/>
  <c r="F309" i="1"/>
  <c r="B297" i="1"/>
  <c r="F286" i="1"/>
  <c r="F284" i="1"/>
  <c r="F282" i="1"/>
  <c r="F280" i="1"/>
  <c r="F278" i="1"/>
  <c r="F276" i="1"/>
  <c r="F274" i="1"/>
  <c r="F272" i="1"/>
  <c r="F270" i="1"/>
  <c r="F268" i="1"/>
  <c r="F266" i="1"/>
  <c r="F264" i="1"/>
  <c r="F262" i="1"/>
  <c r="F260" i="1"/>
  <c r="B248" i="1"/>
  <c r="B246" i="1"/>
  <c r="F233" i="1"/>
  <c r="B221" i="1"/>
  <c r="B219" i="1"/>
  <c r="B217" i="1"/>
  <c r="B215" i="1"/>
  <c r="B213" i="1"/>
  <c r="B211" i="1"/>
  <c r="B209" i="1"/>
  <c r="B207" i="1"/>
  <c r="B205" i="1"/>
  <c r="B203" i="1"/>
  <c r="B201" i="1"/>
  <c r="B199" i="1"/>
  <c r="B197" i="1"/>
  <c r="B195" i="1"/>
  <c r="B193" i="1"/>
  <c r="B191" i="1"/>
  <c r="B189" i="1"/>
  <c r="B187" i="1"/>
  <c r="B185" i="1"/>
  <c r="F174" i="1"/>
  <c r="F172" i="1"/>
  <c r="F170" i="1"/>
  <c r="F168" i="1"/>
  <c r="F166" i="1"/>
  <c r="F164" i="1"/>
  <c r="F162" i="1"/>
  <c r="F160" i="1"/>
  <c r="F158" i="1"/>
  <c r="F156" i="1"/>
  <c r="F154" i="1"/>
  <c r="B142" i="1"/>
  <c r="F131" i="1"/>
  <c r="F129" i="1"/>
  <c r="F127" i="1"/>
  <c r="F125" i="1"/>
  <c r="F123" i="1"/>
  <c r="F121" i="1"/>
  <c r="B109" i="1"/>
  <c r="B107" i="1"/>
  <c r="B105" i="1"/>
  <c r="B103" i="1"/>
  <c r="B101" i="1"/>
  <c r="B99" i="1"/>
  <c r="B97" i="1"/>
  <c r="B95" i="1"/>
  <c r="B93" i="1"/>
  <c r="B91" i="1"/>
  <c r="B89" i="1"/>
  <c r="B87" i="1"/>
  <c r="B85" i="1"/>
  <c r="B83" i="1"/>
  <c r="B81" i="1"/>
  <c r="B79" i="1"/>
  <c r="B77" i="1"/>
  <c r="B75" i="1"/>
  <c r="B73" i="1"/>
  <c r="B71" i="1"/>
  <c r="B69" i="1"/>
  <c r="B67" i="1"/>
  <c r="B65" i="1"/>
  <c r="B63" i="1"/>
  <c r="B61" i="1"/>
  <c r="B59" i="1"/>
  <c r="B57" i="1"/>
  <c r="B55" i="1"/>
  <c r="B53" i="1"/>
  <c r="B51" i="1"/>
  <c r="B49" i="1"/>
  <c r="B47" i="1"/>
  <c r="B45" i="1"/>
  <c r="B43" i="1"/>
  <c r="B41" i="1"/>
  <c r="B39" i="1"/>
  <c r="B37" i="1"/>
  <c r="B35" i="1"/>
  <c r="B33" i="1"/>
  <c r="B31" i="1"/>
  <c r="B29" i="1"/>
  <c r="B27" i="1"/>
  <c r="B25" i="1"/>
  <c r="B23" i="1"/>
  <c r="F817" i="1"/>
  <c r="B738" i="1"/>
  <c r="B734" i="1"/>
  <c r="B728" i="1"/>
  <c r="F713" i="1"/>
  <c r="B701" i="1"/>
  <c r="F688" i="1"/>
  <c r="F665" i="1"/>
  <c r="B586" i="1"/>
  <c r="B496" i="1"/>
  <c r="B473" i="1"/>
  <c r="F416" i="1"/>
  <c r="F345" i="1"/>
  <c r="F320" i="1"/>
  <c r="B283" i="1"/>
  <c r="B275" i="1"/>
  <c r="B267" i="1"/>
  <c r="B261" i="1"/>
  <c r="F246" i="1"/>
  <c r="B232" i="1"/>
  <c r="F217" i="1"/>
  <c r="F211" i="1"/>
  <c r="F205" i="1"/>
  <c r="F199" i="1"/>
  <c r="F193" i="1"/>
  <c r="F187" i="1"/>
  <c r="B173" i="1"/>
  <c r="B167" i="1"/>
  <c r="B161" i="1"/>
  <c r="B128" i="1"/>
  <c r="F2293" i="1"/>
  <c r="F2129" i="1"/>
  <c r="B1969" i="1"/>
  <c r="F1726" i="1"/>
  <c r="F1636" i="1"/>
  <c r="F1557" i="1"/>
  <c r="F1496" i="1"/>
  <c r="B1436" i="1"/>
  <c r="B1390" i="1"/>
  <c r="B1298" i="1"/>
  <c r="B1273" i="1"/>
  <c r="F1260" i="1"/>
  <c r="B1248" i="1"/>
  <c r="B1127" i="1"/>
  <c r="B1119" i="1"/>
  <c r="B1092" i="1"/>
  <c r="B1084" i="1"/>
  <c r="F1061" i="1"/>
  <c r="B1049" i="1"/>
  <c r="B1041" i="1"/>
  <c r="B1033" i="1"/>
  <c r="F949" i="1"/>
  <c r="B935" i="1"/>
  <c r="F920" i="1"/>
  <c r="B895" i="1"/>
  <c r="B891" i="1"/>
  <c r="F866" i="1"/>
  <c r="B852" i="1"/>
  <c r="B829" i="1"/>
  <c r="F818" i="1"/>
  <c r="B806" i="1"/>
  <c r="F795" i="1"/>
  <c r="B762" i="1"/>
  <c r="F751" i="1"/>
  <c r="F749" i="1"/>
  <c r="B737" i="1"/>
  <c r="B735" i="1"/>
  <c r="B733" i="1"/>
  <c r="B731" i="1"/>
  <c r="B729" i="1"/>
  <c r="B727" i="1"/>
  <c r="F716" i="1"/>
  <c r="F714" i="1"/>
  <c r="F712" i="1"/>
  <c r="B700" i="1"/>
  <c r="B677" i="1"/>
  <c r="F666" i="1"/>
  <c r="B654" i="1"/>
  <c r="F643" i="1"/>
  <c r="F620" i="1"/>
  <c r="B608" i="1"/>
  <c r="F597" i="1"/>
  <c r="B564" i="1"/>
  <c r="F553" i="1"/>
  <c r="F530" i="1"/>
  <c r="B518" i="1"/>
  <c r="F507" i="1"/>
  <c r="F484" i="1"/>
  <c r="B451" i="1"/>
  <c r="F440" i="1"/>
  <c r="F438" i="1"/>
  <c r="F415" i="1"/>
  <c r="B403" i="1"/>
  <c r="F392" i="1"/>
  <c r="B380" i="1"/>
  <c r="B378" i="1"/>
  <c r="F367" i="1"/>
  <c r="F344" i="1"/>
  <c r="F342" i="1"/>
  <c r="B309" i="1"/>
  <c r="F298" i="1"/>
  <c r="B286" i="1"/>
  <c r="B284" i="1"/>
  <c r="B282" i="1"/>
  <c r="B280" i="1"/>
  <c r="B278" i="1"/>
  <c r="B276" i="1"/>
  <c r="B274" i="1"/>
  <c r="B272" i="1"/>
  <c r="B270" i="1"/>
  <c r="B268" i="1"/>
  <c r="B266" i="1"/>
  <c r="B264" i="1"/>
  <c r="B262" i="1"/>
  <c r="B260" i="1"/>
  <c r="F247" i="1"/>
  <c r="F245" i="1"/>
  <c r="B233" i="1"/>
  <c r="F220" i="1"/>
  <c r="F218" i="1"/>
  <c r="F216" i="1"/>
  <c r="F214" i="1"/>
  <c r="F212" i="1"/>
  <c r="F210" i="1"/>
  <c r="F208" i="1"/>
  <c r="F206" i="1"/>
  <c r="F204" i="1"/>
  <c r="F202" i="1"/>
  <c r="F200" i="1"/>
  <c r="F198" i="1"/>
  <c r="F196" i="1"/>
  <c r="F194" i="1"/>
  <c r="F192" i="1"/>
  <c r="F190" i="1"/>
  <c r="F188" i="1"/>
  <c r="F186" i="1"/>
  <c r="B174" i="1"/>
  <c r="B172" i="1"/>
  <c r="B170" i="1"/>
  <c r="B168" i="1"/>
  <c r="B166" i="1"/>
  <c r="B164" i="1"/>
  <c r="B162" i="1"/>
  <c r="B160" i="1"/>
  <c r="B158" i="1"/>
  <c r="B156" i="1"/>
  <c r="B154" i="1"/>
  <c r="F143" i="1"/>
  <c r="B131" i="1"/>
  <c r="B129" i="1"/>
  <c r="B127" i="1"/>
  <c r="B125" i="1"/>
  <c r="B123" i="1"/>
  <c r="B121" i="1"/>
  <c r="F110" i="1"/>
  <c r="F108" i="1"/>
  <c r="F106" i="1"/>
  <c r="F104" i="1"/>
  <c r="F102" i="1"/>
  <c r="F100" i="1"/>
  <c r="F98" i="1"/>
  <c r="F96" i="1"/>
  <c r="F94" i="1"/>
  <c r="F92" i="1"/>
  <c r="F90" i="1"/>
  <c r="F88" i="1"/>
  <c r="F86" i="1"/>
  <c r="F84" i="1"/>
  <c r="F82" i="1"/>
  <c r="F80" i="1"/>
  <c r="F78" i="1"/>
  <c r="F76" i="1"/>
  <c r="F74" i="1"/>
  <c r="F72" i="1"/>
  <c r="F70" i="1"/>
  <c r="F68" i="1"/>
  <c r="F66" i="1"/>
  <c r="F64" i="1"/>
  <c r="F62" i="1"/>
  <c r="F60" i="1"/>
  <c r="F58" i="1"/>
  <c r="F56" i="1"/>
  <c r="F54" i="1"/>
  <c r="F52" i="1"/>
  <c r="F50" i="1"/>
  <c r="F48" i="1"/>
  <c r="F46" i="1"/>
  <c r="F44" i="1"/>
  <c r="F42" i="1"/>
  <c r="F40" i="1"/>
  <c r="F38" i="1"/>
  <c r="F36" i="1"/>
  <c r="F34" i="1"/>
  <c r="F32" i="1"/>
  <c r="F30" i="1"/>
  <c r="F28" i="1"/>
  <c r="F26" i="1"/>
  <c r="F24" i="1"/>
  <c r="B1804" i="1"/>
  <c r="B1763" i="1"/>
  <c r="F1742" i="1"/>
  <c r="F1620" i="1"/>
  <c r="B1323" i="1"/>
  <c r="F1193" i="1"/>
  <c r="B1158" i="1"/>
  <c r="B1123" i="1"/>
  <c r="B1115" i="1"/>
  <c r="B1088" i="1"/>
  <c r="B1080" i="1"/>
  <c r="B1045" i="1"/>
  <c r="B1029" i="1"/>
  <c r="B1004" i="1"/>
  <c r="F897" i="1"/>
  <c r="B893" i="1"/>
  <c r="B784" i="1"/>
  <c r="B736" i="1"/>
  <c r="B730" i="1"/>
  <c r="F715" i="1"/>
  <c r="B632" i="1"/>
  <c r="F619" i="1"/>
  <c r="B542" i="1"/>
  <c r="F531" i="1"/>
  <c r="F414" i="1"/>
  <c r="F343" i="1"/>
  <c r="B331" i="1"/>
  <c r="F297" i="1"/>
  <c r="B285" i="1"/>
  <c r="B279" i="1"/>
  <c r="B273" i="1"/>
  <c r="B269" i="1"/>
  <c r="B263" i="1"/>
  <c r="F248" i="1"/>
  <c r="F219" i="1"/>
  <c r="F213" i="1"/>
  <c r="F207" i="1"/>
  <c r="F201" i="1"/>
  <c r="F195" i="1"/>
  <c r="F189" i="1"/>
  <c r="B169" i="1"/>
  <c r="B163" i="1"/>
  <c r="B157" i="1"/>
  <c r="F142" i="1"/>
  <c r="B130" i="1"/>
  <c r="F2261" i="1"/>
  <c r="F2097" i="1"/>
  <c r="F2002" i="1"/>
  <c r="F1791" i="1"/>
  <c r="B1771" i="1"/>
  <c r="F1660" i="1"/>
  <c r="F1628" i="1"/>
  <c r="B1568" i="1"/>
  <c r="F1521" i="1"/>
  <c r="F1494" i="1"/>
  <c r="B1271" i="1"/>
  <c r="B1181" i="1"/>
  <c r="B1125" i="1"/>
  <c r="B1117" i="1"/>
  <c r="F1104" i="1"/>
  <c r="B1090" i="1"/>
  <c r="B1082" i="1"/>
  <c r="B1047" i="1"/>
  <c r="B1039" i="1"/>
  <c r="B1031" i="1"/>
  <c r="F993" i="1"/>
  <c r="B960" i="1"/>
  <c r="F947" i="1"/>
  <c r="F893" i="1"/>
  <c r="F889" i="1"/>
  <c r="B877" i="1"/>
  <c r="B866" i="1"/>
  <c r="F855" i="1"/>
  <c r="F851" i="1"/>
  <c r="B818" i="1"/>
  <c r="B795" i="1"/>
  <c r="F784" i="1"/>
  <c r="B751" i="1"/>
  <c r="B749" i="1"/>
  <c r="F738" i="1"/>
  <c r="F736" i="1"/>
  <c r="F734" i="1"/>
  <c r="F732" i="1"/>
  <c r="F730" i="1"/>
  <c r="F728" i="1"/>
  <c r="B716" i="1"/>
  <c r="B714" i="1"/>
  <c r="B712" i="1"/>
  <c r="F701" i="1"/>
  <c r="F699" i="1"/>
  <c r="B666" i="1"/>
  <c r="B643" i="1"/>
  <c r="F632" i="1"/>
  <c r="B620" i="1"/>
  <c r="B597" i="1"/>
  <c r="F586" i="1"/>
  <c r="B553" i="1"/>
  <c r="F542" i="1"/>
  <c r="B530" i="1"/>
  <c r="B507" i="1"/>
  <c r="F496" i="1"/>
  <c r="B484" i="1"/>
  <c r="F473" i="1"/>
  <c r="B440" i="1"/>
  <c r="B438" i="1"/>
  <c r="F427" i="1"/>
  <c r="B415" i="1"/>
  <c r="B392" i="1"/>
  <c r="F381" i="1"/>
  <c r="F379" i="1"/>
  <c r="B367" i="1"/>
  <c r="F356" i="1"/>
  <c r="B344" i="1"/>
  <c r="B342" i="1"/>
  <c r="F331" i="1"/>
  <c r="B298" i="1"/>
  <c r="F285" i="1"/>
  <c r="F283" i="1"/>
  <c r="F281" i="1"/>
  <c r="F279" i="1"/>
  <c r="F277" i="1"/>
  <c r="F275" i="1"/>
  <c r="F273" i="1"/>
  <c r="F271" i="1"/>
  <c r="F269" i="1"/>
  <c r="F267" i="1"/>
  <c r="F265" i="1"/>
  <c r="F263" i="1"/>
  <c r="F261" i="1"/>
  <c r="F259" i="1"/>
  <c r="B247" i="1"/>
  <c r="B245" i="1"/>
  <c r="F234" i="1"/>
  <c r="F232" i="1"/>
  <c r="B220" i="1"/>
  <c r="B218" i="1"/>
  <c r="B216" i="1"/>
  <c r="B214" i="1"/>
  <c r="B212" i="1"/>
  <c r="B210" i="1"/>
  <c r="B208" i="1"/>
  <c r="B206" i="1"/>
  <c r="B204" i="1"/>
  <c r="B202" i="1"/>
  <c r="B200" i="1"/>
  <c r="B198" i="1"/>
  <c r="B196" i="1"/>
  <c r="B194" i="1"/>
  <c r="B192" i="1"/>
  <c r="B190" i="1"/>
  <c r="B188" i="1"/>
  <c r="B186" i="1"/>
  <c r="F173" i="1"/>
  <c r="F171" i="1"/>
  <c r="F169" i="1"/>
  <c r="F167" i="1"/>
  <c r="F165" i="1"/>
  <c r="F163" i="1"/>
  <c r="F161" i="1"/>
  <c r="F159" i="1"/>
  <c r="F157" i="1"/>
  <c r="F155" i="1"/>
  <c r="B143" i="1"/>
  <c r="F130" i="1"/>
  <c r="F128" i="1"/>
  <c r="F126" i="1"/>
  <c r="F124" i="1"/>
  <c r="F122" i="1"/>
  <c r="B110" i="1"/>
  <c r="B108" i="1"/>
  <c r="B106" i="1"/>
  <c r="B104" i="1"/>
  <c r="B102" i="1"/>
  <c r="B100" i="1"/>
  <c r="B98" i="1"/>
  <c r="B96" i="1"/>
  <c r="B94" i="1"/>
  <c r="B92" i="1"/>
  <c r="B90" i="1"/>
  <c r="B88" i="1"/>
  <c r="B86" i="1"/>
  <c r="B84" i="1"/>
  <c r="B82" i="1"/>
  <c r="B80" i="1"/>
  <c r="B78" i="1"/>
  <c r="B76" i="1"/>
  <c r="B74" i="1"/>
  <c r="B72" i="1"/>
  <c r="B70" i="1"/>
  <c r="B68" i="1"/>
  <c r="B66" i="1"/>
  <c r="B64" i="1"/>
  <c r="B62" i="1"/>
  <c r="B60" i="1"/>
  <c r="B58" i="1"/>
  <c r="B56" i="1"/>
  <c r="B54" i="1"/>
  <c r="B52" i="1"/>
  <c r="B50" i="1"/>
  <c r="B48" i="1"/>
  <c r="B46" i="1"/>
  <c r="B44" i="1"/>
  <c r="B42" i="1"/>
  <c r="B40" i="1"/>
  <c r="B38" i="1"/>
  <c r="B36" i="1"/>
  <c r="B34" i="1"/>
  <c r="B32" i="1"/>
  <c r="B30" i="1"/>
  <c r="B28" i="1"/>
  <c r="B26" i="1"/>
  <c r="B24" i="1"/>
  <c r="F2220" i="1"/>
  <c r="F1701" i="1"/>
  <c r="F1652" i="1"/>
  <c r="B1579" i="1"/>
  <c r="F1519" i="1"/>
  <c r="F1335" i="1"/>
  <c r="F1145" i="1"/>
  <c r="B1131" i="1"/>
  <c r="F1065" i="1"/>
  <c r="B1037" i="1"/>
  <c r="F1016" i="1"/>
  <c r="B889" i="1"/>
  <c r="B854" i="1"/>
  <c r="F773" i="1"/>
  <c r="F750" i="1"/>
  <c r="B732" i="1"/>
  <c r="B699" i="1"/>
  <c r="F621" i="1"/>
  <c r="F575" i="1"/>
  <c r="F529" i="1"/>
  <c r="F485" i="1"/>
  <c r="F462" i="1"/>
  <c r="F439" i="1"/>
  <c r="B427" i="1"/>
  <c r="B381" i="1"/>
  <c r="B379" i="1"/>
  <c r="B356" i="1"/>
  <c r="B281" i="1"/>
  <c r="B277" i="1"/>
  <c r="B271" i="1"/>
  <c r="B265" i="1"/>
  <c r="B259" i="1"/>
  <c r="B234" i="1"/>
  <c r="F221" i="1"/>
  <c r="F215" i="1"/>
  <c r="F209" i="1"/>
  <c r="F203" i="1"/>
  <c r="F197" i="1"/>
  <c r="F191" i="1"/>
  <c r="F185" i="1"/>
  <c r="B171" i="1"/>
  <c r="B165" i="1"/>
  <c r="B159" i="1"/>
  <c r="B155" i="1"/>
  <c r="B126" i="1"/>
  <c r="B124" i="1"/>
  <c r="F109" i="1"/>
  <c r="F101" i="1"/>
  <c r="F93" i="1"/>
  <c r="F85" i="1"/>
  <c r="F77" i="1"/>
  <c r="F69" i="1"/>
  <c r="F61" i="1"/>
  <c r="F53" i="1"/>
  <c r="F45" i="1"/>
  <c r="F37" i="1"/>
  <c r="F29" i="1"/>
  <c r="F103" i="1"/>
  <c r="F95" i="1"/>
  <c r="F87" i="1"/>
  <c r="F79" i="1"/>
  <c r="F63" i="1"/>
  <c r="F47" i="1"/>
  <c r="F31" i="1"/>
  <c r="B122" i="1"/>
  <c r="F107" i="1"/>
  <c r="F99" i="1"/>
  <c r="F91" i="1"/>
  <c r="F83" i="1"/>
  <c r="F75" i="1"/>
  <c r="F67" i="1"/>
  <c r="F59" i="1"/>
  <c r="F51" i="1"/>
  <c r="F43" i="1"/>
  <c r="F35" i="1"/>
  <c r="F27" i="1"/>
  <c r="F71" i="1"/>
  <c r="F55" i="1"/>
  <c r="F39" i="1"/>
  <c r="F23" i="1"/>
  <c r="F105" i="1"/>
  <c r="F97" i="1"/>
  <c r="F89" i="1"/>
  <c r="F81" i="1"/>
  <c r="F73" i="1"/>
  <c r="F65" i="1"/>
  <c r="F57" i="1"/>
  <c r="F49" i="1"/>
  <c r="F41" i="1"/>
  <c r="F33" i="1"/>
  <c r="F25" i="1"/>
  <c r="F111" i="1" l="1"/>
  <c r="F222" i="1"/>
  <c r="F463" i="1"/>
  <c r="F532" i="1"/>
  <c r="F576" i="1"/>
  <c r="F774" i="1"/>
  <c r="F1017" i="1"/>
  <c r="F1336" i="1"/>
  <c r="F1523" i="1"/>
  <c r="F235" i="1"/>
  <c r="F287" i="1"/>
  <c r="F332" i="1"/>
  <c r="F357" i="1"/>
  <c r="F428" i="1"/>
  <c r="F474" i="1"/>
  <c r="F497" i="1"/>
  <c r="F543" i="1"/>
  <c r="F587" i="1"/>
  <c r="F633" i="1"/>
  <c r="F702" i="1"/>
  <c r="F785" i="1"/>
  <c r="F856" i="1"/>
  <c r="F994" i="1"/>
  <c r="F1498" i="1"/>
  <c r="F2003" i="1"/>
  <c r="F2295" i="1"/>
  <c r="F144" i="1"/>
  <c r="F299" i="1"/>
  <c r="F417" i="1"/>
  <c r="F622" i="1"/>
  <c r="F249" i="1"/>
  <c r="F346" i="1"/>
  <c r="F368" i="1"/>
  <c r="F393" i="1"/>
  <c r="F441" i="1"/>
  <c r="F486" i="1"/>
  <c r="F508" i="1"/>
  <c r="F554" i="1"/>
  <c r="F598" i="1"/>
  <c r="F644" i="1"/>
  <c r="F717" i="1"/>
  <c r="F752" i="1"/>
  <c r="F796" i="1"/>
  <c r="F867" i="1"/>
  <c r="F1067" i="1"/>
  <c r="F1261" i="1"/>
  <c r="F321" i="1"/>
  <c r="F667" i="1"/>
  <c r="F689" i="1"/>
  <c r="F819" i="1"/>
  <c r="F132" i="1"/>
  <c r="F175" i="1"/>
  <c r="F310" i="1"/>
  <c r="F382" i="1"/>
  <c r="F404" i="1"/>
  <c r="F452" i="1"/>
  <c r="F519" i="1"/>
  <c r="F565" i="1"/>
  <c r="F609" i="1"/>
  <c r="F655" i="1"/>
  <c r="F678" i="1"/>
  <c r="F739" i="1"/>
  <c r="F763" i="1"/>
  <c r="F807" i="1"/>
  <c r="F1238" i="1"/>
  <c r="F1288" i="1"/>
  <c r="F1380" i="1"/>
  <c r="F1426" i="1"/>
  <c r="F1473" i="1"/>
  <c r="F1546" i="1"/>
  <c r="F1667" i="1"/>
  <c r="F830" i="1"/>
  <c r="F878" i="1"/>
  <c r="F909" i="1"/>
  <c r="F961" i="1"/>
  <c r="F1006" i="1"/>
  <c r="F1051" i="1"/>
  <c r="F1132" i="1"/>
  <c r="F1159" i="1"/>
  <c r="F1205" i="1"/>
  <c r="F1250" i="1"/>
  <c r="F1277" i="1"/>
  <c r="F1299" i="1"/>
  <c r="F1347" i="1"/>
  <c r="F1393" i="1"/>
  <c r="F1437" i="1"/>
  <c r="F1569" i="1"/>
  <c r="F1959" i="1"/>
  <c r="F2436" i="1"/>
  <c r="F841" i="1"/>
  <c r="F898" i="1"/>
  <c r="F924" i="1"/>
  <c r="F950" i="1"/>
  <c r="F972" i="1"/>
  <c r="F1105" i="1"/>
  <c r="F1146" i="1"/>
  <c r="F1170" i="1"/>
  <c r="F1194" i="1"/>
  <c r="F1216" i="1"/>
  <c r="F1310" i="1"/>
  <c r="F1358" i="1"/>
  <c r="F1404" i="1"/>
  <c r="F1448" i="1"/>
  <c r="F1823" i="1"/>
  <c r="F2324" i="1"/>
  <c r="F936" i="1"/>
  <c r="F983" i="1"/>
  <c r="F1093" i="1"/>
  <c r="F1182" i="1"/>
  <c r="F1227" i="1"/>
  <c r="F1325" i="1"/>
  <c r="F1369" i="1"/>
  <c r="F1415" i="1"/>
  <c r="F1461" i="1"/>
  <c r="F1484" i="1"/>
  <c r="F1509" i="1"/>
  <c r="F1534" i="1"/>
  <c r="F1702" i="1"/>
  <c r="F1743" i="1"/>
  <c r="F1794" i="1"/>
  <c r="F1890" i="1"/>
  <c r="F2048" i="1"/>
  <c r="F1558" i="1"/>
  <c r="F1580" i="1"/>
  <c r="F1681" i="1"/>
  <c r="F1714" i="1"/>
  <c r="F1779" i="1"/>
  <c r="F1810" i="1"/>
  <c r="F1834" i="1"/>
  <c r="F1903" i="1"/>
  <c r="F1926" i="1"/>
  <c r="F1970" i="1"/>
  <c r="F2014" i="1"/>
  <c r="F2392" i="1"/>
  <c r="F2569" i="1"/>
  <c r="F1591" i="1"/>
  <c r="F1845" i="1"/>
  <c r="F1868" i="1"/>
  <c r="F1915" i="1"/>
  <c r="F1937" i="1"/>
  <c r="F1981" i="1"/>
  <c r="F2025" i="1"/>
  <c r="F2062" i="1"/>
  <c r="F2074" i="1"/>
  <c r="F2524" i="1"/>
  <c r="F2635" i="1"/>
  <c r="F1602" i="1"/>
  <c r="F1857" i="1"/>
  <c r="F1879" i="1"/>
  <c r="F1948" i="1"/>
  <c r="F1992" i="1"/>
  <c r="F2036" i="1"/>
  <c r="F2480" i="1"/>
  <c r="F2591" i="1"/>
  <c r="F2205" i="1"/>
  <c r="F2251" i="1"/>
  <c r="F2403" i="1"/>
  <c r="F2447" i="1"/>
  <c r="F2491" i="1"/>
  <c r="F2535" i="1"/>
  <c r="F2602" i="1"/>
  <c r="F2646" i="1"/>
  <c r="F2184" i="1"/>
  <c r="F2239" i="1"/>
  <c r="F2347" i="1"/>
  <c r="F2370" i="1"/>
  <c r="F2414" i="1"/>
  <c r="F2458" i="1"/>
  <c r="F2502" i="1"/>
  <c r="F2546" i="1"/>
  <c r="F2613" i="1"/>
  <c r="F2657" i="1"/>
  <c r="F2310" i="1"/>
  <c r="F2336" i="1"/>
  <c r="F2359" i="1"/>
  <c r="F2381" i="1"/>
  <c r="F2425" i="1"/>
  <c r="F2469" i="1"/>
  <c r="F2513" i="1"/>
  <c r="F2557" i="1"/>
  <c r="F2580" i="1"/>
  <c r="F2624" i="1"/>
  <c r="B9" i="1" l="1"/>
  <c r="B10"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114" authorId="2" shapeId="0">
      <text>
        <r>
          <rPr>
            <sz val="11"/>
            <color theme="1"/>
            <rFont val="Calibri"/>
            <family val="2"/>
            <scheme val="minor"/>
          </rPr>
          <t>Introducir un texto con el nombre o referencia de la contratación</t>
        </r>
      </text>
    </comment>
    <comment ref="B114" authorId="2" shapeId="0">
      <text>
        <r>
          <rPr>
            <sz val="11"/>
            <color theme="1"/>
            <rFont val="Calibri"/>
            <family val="2"/>
            <scheme val="minor"/>
          </rPr>
          <t>Introduzca un texto con la finalidad de la contratación</t>
        </r>
      </text>
    </comment>
    <comment ref="C114" authorId="2" shapeId="0">
      <text>
        <r>
          <rPr>
            <sz val="11"/>
            <color theme="1"/>
            <rFont val="Calibri"/>
            <family val="2"/>
            <scheme val="minor"/>
          </rPr>
          <t>Seleccionar un valor del listado</t>
        </r>
      </text>
    </comment>
    <comment ref="D114" authorId="2" shapeId="0">
      <text>
        <r>
          <rPr>
            <sz val="11"/>
            <color theme="1"/>
            <rFont val="Calibri"/>
            <family val="2"/>
            <scheme val="minor"/>
          </rPr>
          <t>Seleccione el tipo de procedimiento</t>
        </r>
      </text>
    </comment>
    <comment ref="E114" authorId="2" shapeId="0">
      <text>
        <r>
          <rPr>
            <sz val="11"/>
            <color theme="1"/>
            <rFont val="Calibri"/>
            <family val="2"/>
            <scheme val="minor"/>
          </rPr>
          <t>Seleccione un valor de la lista</t>
        </r>
      </text>
    </comment>
    <comment ref="F114" authorId="2" shapeId="0">
      <text>
        <r>
          <rPr>
            <sz val="11"/>
            <color theme="1"/>
            <rFont val="Calibri"/>
            <family val="2"/>
            <scheme val="minor"/>
          </rPr>
          <t>Introduzca el código SNIP</t>
        </r>
      </text>
    </comment>
    <comment ref="C115" authorId="2" shapeId="0">
      <text>
        <r>
          <rPr>
            <sz val="11"/>
            <color theme="1"/>
            <rFont val="Calibri"/>
            <family val="2"/>
            <scheme val="minor"/>
          </rPr>
          <t>Introduzca la fecha de inicio del proceso, en formato dd-mm-aaaa</t>
        </r>
      </text>
    </comment>
    <comment ref="F1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2" shapeId="0">
      <text/>
    </comment>
    <comment ref="C117" authorId="2" shapeId="0">
      <text>
        <r>
          <rPr>
            <sz val="11"/>
            <color theme="1"/>
            <rFont val="Calibri"/>
            <family val="2"/>
            <scheme val="minor"/>
          </rPr>
          <t>Introduzca la fecha prevista de adjudicación, en formato dd-mm-aaaa</t>
        </r>
      </text>
    </comment>
    <comment ref="F117" authorId="2" shapeId="0">
      <text/>
    </comment>
    <comment ref="F118" authorId="2" shapeId="0">
      <text/>
    </comment>
    <comment ref="A120" authorId="2" shapeId="0">
      <text>
        <r>
          <rPr>
            <sz val="11"/>
            <color theme="1"/>
            <rFont val="Calibri"/>
            <family val="2"/>
            <scheme val="minor"/>
          </rPr>
          <t>Introduzca un codigo UNSPSC</t>
        </r>
      </text>
    </comment>
    <comment ref="B120" authorId="2" shapeId="0">
      <text>
        <r>
          <rPr>
            <sz val="11"/>
            <color theme="1"/>
            <rFont val="Calibri"/>
            <family val="2"/>
            <scheme val="minor"/>
          </rPr>
          <t>Descripción calculada automáticamente a partir de código del artículo</t>
        </r>
      </text>
    </comment>
    <comment ref="C120" authorId="2" shapeId="0">
      <text>
        <r>
          <rPr>
            <sz val="11"/>
            <color theme="1"/>
            <rFont val="Calibri"/>
            <family val="2"/>
            <scheme val="minor"/>
          </rPr>
          <t>Seleccione un valor de la lista</t>
        </r>
      </text>
    </comment>
    <comment ref="D120" authorId="2" shapeId="0">
      <text>
        <r>
          <rPr>
            <sz val="11"/>
            <color theme="1"/>
            <rFont val="Calibri"/>
            <family val="2"/>
            <scheme val="minor"/>
          </rPr>
          <t>Introduzca un número con dos decimales como máximo. Debe ser igual o mayor a la "Cantidad Real Consumida"</t>
        </r>
      </text>
    </comment>
    <comment ref="E120" authorId="2" shapeId="0">
      <text>
        <r>
          <rPr>
            <sz val="11"/>
            <color theme="1"/>
            <rFont val="Calibri"/>
            <family val="2"/>
            <scheme val="minor"/>
          </rPr>
          <t>Introduzca un número con dos decimales como máximo</t>
        </r>
      </text>
    </comment>
    <comment ref="F120" authorId="2" shapeId="0">
      <text>
        <r>
          <rPr>
            <sz val="11"/>
            <color theme="1"/>
            <rFont val="Calibri"/>
            <family val="2"/>
            <scheme val="minor"/>
          </rPr>
          <t>Monto calculado automáticamente por el sistema</t>
        </r>
      </text>
    </comment>
    <comment ref="A135" authorId="2" shapeId="0">
      <text>
        <r>
          <rPr>
            <sz val="11"/>
            <color theme="1"/>
            <rFont val="Calibri"/>
            <family val="2"/>
            <scheme val="minor"/>
          </rPr>
          <t>Introducir un texto con el nombre o referencia de la contratación</t>
        </r>
      </text>
    </comment>
    <comment ref="B135" authorId="2" shapeId="0">
      <text>
        <r>
          <rPr>
            <sz val="11"/>
            <color theme="1"/>
            <rFont val="Calibri"/>
            <family val="2"/>
            <scheme val="minor"/>
          </rPr>
          <t>Introduzca un texto con la finalidad de la contratación</t>
        </r>
      </text>
    </comment>
    <comment ref="C135" authorId="2" shapeId="0">
      <text>
        <r>
          <rPr>
            <sz val="11"/>
            <color theme="1"/>
            <rFont val="Calibri"/>
            <family val="2"/>
            <scheme val="minor"/>
          </rPr>
          <t>Seleccionar un valor del listado</t>
        </r>
      </text>
    </comment>
    <comment ref="D135" authorId="2" shapeId="0">
      <text>
        <r>
          <rPr>
            <sz val="11"/>
            <color theme="1"/>
            <rFont val="Calibri"/>
            <family val="2"/>
            <scheme val="minor"/>
          </rPr>
          <t>Seleccione el tipo de procedimiento</t>
        </r>
      </text>
    </comment>
    <comment ref="E135" authorId="2" shapeId="0">
      <text>
        <r>
          <rPr>
            <sz val="11"/>
            <color theme="1"/>
            <rFont val="Calibri"/>
            <family val="2"/>
            <scheme val="minor"/>
          </rPr>
          <t>Seleccione un valor de la lista</t>
        </r>
      </text>
    </comment>
    <comment ref="F135" authorId="2" shapeId="0">
      <text>
        <r>
          <rPr>
            <sz val="11"/>
            <color theme="1"/>
            <rFont val="Calibri"/>
            <family val="2"/>
            <scheme val="minor"/>
          </rPr>
          <t>Introduzca el código SNIP</t>
        </r>
      </text>
    </comment>
    <comment ref="C136" authorId="2" shapeId="0">
      <text>
        <r>
          <rPr>
            <sz val="11"/>
            <color theme="1"/>
            <rFont val="Calibri"/>
            <family val="2"/>
            <scheme val="minor"/>
          </rPr>
          <t>Introduzca la fecha de inicio del proceso, en formato dd-mm-aaaa</t>
        </r>
      </text>
    </comment>
    <comment ref="F1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2" shapeId="0">
      <text/>
    </comment>
    <comment ref="C138" authorId="2" shapeId="0">
      <text>
        <r>
          <rPr>
            <sz val="11"/>
            <color theme="1"/>
            <rFont val="Calibri"/>
            <family val="2"/>
            <scheme val="minor"/>
          </rPr>
          <t>Introduzca la fecha prevista de adjudicación, en formato dd-mm-aaaa</t>
        </r>
      </text>
    </comment>
    <comment ref="F138" authorId="2" shapeId="0">
      <text/>
    </comment>
    <comment ref="F139" authorId="2" shapeId="0">
      <text/>
    </comment>
    <comment ref="A141" authorId="2" shapeId="0">
      <text>
        <r>
          <rPr>
            <sz val="11"/>
            <color theme="1"/>
            <rFont val="Calibri"/>
            <family val="2"/>
            <scheme val="minor"/>
          </rPr>
          <t>Introduzca un codigo UNSPSC</t>
        </r>
      </text>
    </comment>
    <comment ref="B141" authorId="2" shapeId="0">
      <text>
        <r>
          <rPr>
            <sz val="11"/>
            <color theme="1"/>
            <rFont val="Calibri"/>
            <family val="2"/>
            <scheme val="minor"/>
          </rPr>
          <t>Descripción calculada automáticamente a partir de código del artículo</t>
        </r>
      </text>
    </comment>
    <comment ref="C141" authorId="2" shapeId="0">
      <text>
        <r>
          <rPr>
            <sz val="11"/>
            <color theme="1"/>
            <rFont val="Calibri"/>
            <family val="2"/>
            <scheme val="minor"/>
          </rPr>
          <t>Seleccione un valor de la lista</t>
        </r>
      </text>
    </comment>
    <comment ref="D141" authorId="2" shapeId="0">
      <text>
        <r>
          <rPr>
            <sz val="11"/>
            <color theme="1"/>
            <rFont val="Calibri"/>
            <family val="2"/>
            <scheme val="minor"/>
          </rPr>
          <t>Introduzca un número con dos decimales como máximo. Debe ser igual o mayor a la "Cantidad Real Consumida"</t>
        </r>
      </text>
    </comment>
    <comment ref="E141" authorId="2" shapeId="0">
      <text>
        <r>
          <rPr>
            <sz val="11"/>
            <color theme="1"/>
            <rFont val="Calibri"/>
            <family val="2"/>
            <scheme val="minor"/>
          </rPr>
          <t>Introduzca un número con dos decimales como máximo</t>
        </r>
      </text>
    </comment>
    <comment ref="F141" authorId="2" shapeId="0">
      <text>
        <r>
          <rPr>
            <sz val="11"/>
            <color theme="1"/>
            <rFont val="Calibri"/>
            <family val="2"/>
            <scheme val="minor"/>
          </rPr>
          <t>Monto calculado automáticamente por el sistema</t>
        </r>
      </text>
    </comment>
    <comment ref="A147" authorId="2" shapeId="0">
      <text>
        <r>
          <rPr>
            <sz val="11"/>
            <color theme="1"/>
            <rFont val="Calibri"/>
            <family val="2"/>
            <scheme val="minor"/>
          </rPr>
          <t>Introducir un texto con el nombre o referencia de la contratación</t>
        </r>
      </text>
    </comment>
    <comment ref="B147" authorId="2" shapeId="0">
      <text>
        <r>
          <rPr>
            <sz val="11"/>
            <color theme="1"/>
            <rFont val="Calibri"/>
            <family val="2"/>
            <scheme val="minor"/>
          </rPr>
          <t>Introduzca un texto con la finalidad de la contratación</t>
        </r>
      </text>
    </comment>
    <comment ref="C147" authorId="2" shapeId="0">
      <text>
        <r>
          <rPr>
            <sz val="11"/>
            <color theme="1"/>
            <rFont val="Calibri"/>
            <family val="2"/>
            <scheme val="minor"/>
          </rPr>
          <t>Seleccionar un valor del listado</t>
        </r>
      </text>
    </comment>
    <comment ref="D147" authorId="2" shapeId="0">
      <text>
        <r>
          <rPr>
            <sz val="11"/>
            <color theme="1"/>
            <rFont val="Calibri"/>
            <family val="2"/>
            <scheme val="minor"/>
          </rPr>
          <t>Seleccione el tipo de procedimiento</t>
        </r>
      </text>
    </comment>
    <comment ref="E147" authorId="2" shapeId="0">
      <text>
        <r>
          <rPr>
            <sz val="11"/>
            <color theme="1"/>
            <rFont val="Calibri"/>
            <family val="2"/>
            <scheme val="minor"/>
          </rPr>
          <t>Seleccione un valor de la lista</t>
        </r>
      </text>
    </comment>
    <comment ref="F147" authorId="2" shapeId="0">
      <text>
        <r>
          <rPr>
            <sz val="11"/>
            <color theme="1"/>
            <rFont val="Calibri"/>
            <family val="2"/>
            <scheme val="minor"/>
          </rPr>
          <t>Introduzca el código SNIP</t>
        </r>
      </text>
    </comment>
    <comment ref="C148" authorId="2" shapeId="0">
      <text>
        <r>
          <rPr>
            <sz val="11"/>
            <color theme="1"/>
            <rFont val="Calibri"/>
            <family val="2"/>
            <scheme val="minor"/>
          </rPr>
          <t>Introduzca la fecha de inicio del proceso, en formato dd-mm-aaaa</t>
        </r>
      </text>
    </comment>
    <comment ref="F1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2" shapeId="0">
      <text/>
    </comment>
    <comment ref="C150" authorId="2" shapeId="0">
      <text>
        <r>
          <rPr>
            <sz val="11"/>
            <color theme="1"/>
            <rFont val="Calibri"/>
            <family val="2"/>
            <scheme val="minor"/>
          </rPr>
          <t>Introduzca la fecha prevista de adjudicación, en formato dd-mm-aaaa</t>
        </r>
      </text>
    </comment>
    <comment ref="F150" authorId="2" shapeId="0">
      <text/>
    </comment>
    <comment ref="F151" authorId="2" shapeId="0">
      <text/>
    </comment>
    <comment ref="A153" authorId="2" shapeId="0">
      <text>
        <r>
          <rPr>
            <sz val="11"/>
            <color theme="1"/>
            <rFont val="Calibri"/>
            <family val="2"/>
            <scheme val="minor"/>
          </rPr>
          <t>Introduzca un codigo UNSPSC</t>
        </r>
      </text>
    </comment>
    <comment ref="B153" authorId="2" shapeId="0">
      <text>
        <r>
          <rPr>
            <sz val="11"/>
            <color theme="1"/>
            <rFont val="Calibri"/>
            <family val="2"/>
            <scheme val="minor"/>
          </rPr>
          <t>Descripción calculada automáticamente a partir de código del artículo</t>
        </r>
      </text>
    </comment>
    <comment ref="C153" authorId="2" shapeId="0">
      <text>
        <r>
          <rPr>
            <sz val="11"/>
            <color theme="1"/>
            <rFont val="Calibri"/>
            <family val="2"/>
            <scheme val="minor"/>
          </rPr>
          <t>Seleccione un valor de la lista</t>
        </r>
      </text>
    </comment>
    <comment ref="D153" authorId="2" shapeId="0">
      <text>
        <r>
          <rPr>
            <sz val="11"/>
            <color theme="1"/>
            <rFont val="Calibri"/>
            <family val="2"/>
            <scheme val="minor"/>
          </rPr>
          <t>Introduzca un número con dos decimales como máximo. Debe ser igual o mayor a la "Cantidad Real Consumida"</t>
        </r>
      </text>
    </comment>
    <comment ref="E153" authorId="2" shapeId="0">
      <text>
        <r>
          <rPr>
            <sz val="11"/>
            <color theme="1"/>
            <rFont val="Calibri"/>
            <family val="2"/>
            <scheme val="minor"/>
          </rPr>
          <t>Introduzca un número con dos decimales como máximo</t>
        </r>
      </text>
    </comment>
    <comment ref="F153" authorId="2" shapeId="0">
      <text>
        <r>
          <rPr>
            <sz val="11"/>
            <color theme="1"/>
            <rFont val="Calibri"/>
            <family val="2"/>
            <scheme val="minor"/>
          </rPr>
          <t>Monto calculado automáticamente por el sistema</t>
        </r>
      </text>
    </comment>
    <comment ref="A178" authorId="2" shapeId="0">
      <text>
        <r>
          <rPr>
            <sz val="11"/>
            <color theme="1"/>
            <rFont val="Calibri"/>
            <family val="2"/>
            <scheme val="minor"/>
          </rPr>
          <t>Introducir un texto con el nombre o referencia de la contratación</t>
        </r>
      </text>
    </comment>
    <comment ref="B178" authorId="2" shapeId="0">
      <text>
        <r>
          <rPr>
            <sz val="11"/>
            <color theme="1"/>
            <rFont val="Calibri"/>
            <family val="2"/>
            <scheme val="minor"/>
          </rPr>
          <t>Introduzca un texto con la finalidad de la contratación</t>
        </r>
      </text>
    </comment>
    <comment ref="C178" authorId="2" shapeId="0">
      <text>
        <r>
          <rPr>
            <sz val="11"/>
            <color theme="1"/>
            <rFont val="Calibri"/>
            <family val="2"/>
            <scheme val="minor"/>
          </rPr>
          <t>Seleccionar un valor del listado</t>
        </r>
      </text>
    </comment>
    <comment ref="D178" authorId="2" shapeId="0">
      <text>
        <r>
          <rPr>
            <sz val="11"/>
            <color theme="1"/>
            <rFont val="Calibri"/>
            <family val="2"/>
            <scheme val="minor"/>
          </rPr>
          <t>Seleccione el tipo de procedimiento</t>
        </r>
      </text>
    </comment>
    <comment ref="E178" authorId="2" shapeId="0">
      <text>
        <r>
          <rPr>
            <sz val="11"/>
            <color theme="1"/>
            <rFont val="Calibri"/>
            <family val="2"/>
            <scheme val="minor"/>
          </rPr>
          <t>Seleccione un valor de la lista</t>
        </r>
      </text>
    </comment>
    <comment ref="F178" authorId="2" shapeId="0">
      <text>
        <r>
          <rPr>
            <sz val="11"/>
            <color theme="1"/>
            <rFont val="Calibri"/>
            <family val="2"/>
            <scheme val="minor"/>
          </rPr>
          <t>Introduzca el código SNIP</t>
        </r>
      </text>
    </comment>
    <comment ref="C179" authorId="2" shapeId="0">
      <text>
        <r>
          <rPr>
            <sz val="11"/>
            <color theme="1"/>
            <rFont val="Calibri"/>
            <family val="2"/>
            <scheme val="minor"/>
          </rPr>
          <t>Introduzca la fecha de inicio del proceso, en formato dd-mm-aaaa</t>
        </r>
      </text>
    </comment>
    <comment ref="F1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2" shapeId="0">
      <text/>
    </comment>
    <comment ref="C181" authorId="2" shapeId="0">
      <text>
        <r>
          <rPr>
            <sz val="11"/>
            <color theme="1"/>
            <rFont val="Calibri"/>
            <family val="2"/>
            <scheme val="minor"/>
          </rPr>
          <t>Introduzca la fecha prevista de adjudicación, en formato dd-mm-aaaa</t>
        </r>
      </text>
    </comment>
    <comment ref="F181" authorId="2" shapeId="0">
      <text/>
    </comment>
    <comment ref="F182" authorId="2" shapeId="0">
      <text/>
    </comment>
    <comment ref="A184" authorId="2" shapeId="0">
      <text>
        <r>
          <rPr>
            <sz val="11"/>
            <color theme="1"/>
            <rFont val="Calibri"/>
            <family val="2"/>
            <scheme val="minor"/>
          </rPr>
          <t>Introduzca un codigo UNSPSC</t>
        </r>
      </text>
    </comment>
    <comment ref="B184" authorId="2" shapeId="0">
      <text>
        <r>
          <rPr>
            <sz val="11"/>
            <color theme="1"/>
            <rFont val="Calibri"/>
            <family val="2"/>
            <scheme val="minor"/>
          </rPr>
          <t>Descripción calculada automáticamente a partir de código del artículo</t>
        </r>
      </text>
    </comment>
    <comment ref="C184" authorId="2" shapeId="0">
      <text>
        <r>
          <rPr>
            <sz val="11"/>
            <color theme="1"/>
            <rFont val="Calibri"/>
            <family val="2"/>
            <scheme val="minor"/>
          </rPr>
          <t>Seleccione un valor de la lista</t>
        </r>
      </text>
    </comment>
    <comment ref="D184" authorId="2" shapeId="0">
      <text>
        <r>
          <rPr>
            <sz val="11"/>
            <color theme="1"/>
            <rFont val="Calibri"/>
            <family val="2"/>
            <scheme val="minor"/>
          </rPr>
          <t>Introduzca un número con dos decimales como máximo. Debe ser igual o mayor a la "Cantidad Real Consumida"</t>
        </r>
      </text>
    </comment>
    <comment ref="E184" authorId="2" shapeId="0">
      <text>
        <r>
          <rPr>
            <sz val="11"/>
            <color theme="1"/>
            <rFont val="Calibri"/>
            <family val="2"/>
            <scheme val="minor"/>
          </rPr>
          <t>Introduzca un número con dos decimales como máximo</t>
        </r>
      </text>
    </comment>
    <comment ref="F184" authorId="2" shapeId="0">
      <text>
        <r>
          <rPr>
            <sz val="11"/>
            <color theme="1"/>
            <rFont val="Calibri"/>
            <family val="2"/>
            <scheme val="minor"/>
          </rPr>
          <t>Monto calculado automáticamente por el sistema</t>
        </r>
      </text>
    </comment>
    <comment ref="A225" authorId="2" shapeId="0">
      <text>
        <r>
          <rPr>
            <sz val="11"/>
            <color theme="1"/>
            <rFont val="Calibri"/>
            <family val="2"/>
            <scheme val="minor"/>
          </rPr>
          <t>Introducir un texto con el nombre o referencia de la contratación</t>
        </r>
      </text>
    </comment>
    <comment ref="B225" authorId="2" shapeId="0">
      <text>
        <r>
          <rPr>
            <sz val="11"/>
            <color theme="1"/>
            <rFont val="Calibri"/>
            <family val="2"/>
            <scheme val="minor"/>
          </rPr>
          <t>Introduzca un texto con la finalidad de la contratación</t>
        </r>
      </text>
    </comment>
    <comment ref="C225" authorId="2" shapeId="0">
      <text>
        <r>
          <rPr>
            <sz val="11"/>
            <color theme="1"/>
            <rFont val="Calibri"/>
            <family val="2"/>
            <scheme val="minor"/>
          </rPr>
          <t>Seleccionar un valor del listado</t>
        </r>
      </text>
    </comment>
    <comment ref="D225" authorId="2" shapeId="0">
      <text>
        <r>
          <rPr>
            <sz val="11"/>
            <color theme="1"/>
            <rFont val="Calibri"/>
            <family val="2"/>
            <scheme val="minor"/>
          </rPr>
          <t>Seleccione el tipo de procedimiento</t>
        </r>
      </text>
    </comment>
    <comment ref="E225" authorId="2" shapeId="0">
      <text>
        <r>
          <rPr>
            <sz val="11"/>
            <color theme="1"/>
            <rFont val="Calibri"/>
            <family val="2"/>
            <scheme val="minor"/>
          </rPr>
          <t>Seleccione un valor de la lista</t>
        </r>
      </text>
    </comment>
    <comment ref="F225" authorId="2" shapeId="0">
      <text>
        <r>
          <rPr>
            <sz val="11"/>
            <color theme="1"/>
            <rFont val="Calibri"/>
            <family val="2"/>
            <scheme val="minor"/>
          </rPr>
          <t>Introduzca el código SNIP</t>
        </r>
      </text>
    </comment>
    <comment ref="C226" authorId="2" shapeId="0">
      <text>
        <r>
          <rPr>
            <sz val="11"/>
            <color theme="1"/>
            <rFont val="Calibri"/>
            <family val="2"/>
            <scheme val="minor"/>
          </rPr>
          <t>Introduzca la fecha de inicio del proceso, en formato dd-mm-aaaa</t>
        </r>
      </text>
    </comment>
    <comment ref="F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2" shapeId="0">
      <text/>
    </comment>
    <comment ref="C228" authorId="2" shapeId="0">
      <text>
        <r>
          <rPr>
            <sz val="11"/>
            <color theme="1"/>
            <rFont val="Calibri"/>
            <family val="2"/>
            <scheme val="minor"/>
          </rPr>
          <t>Introduzca la fecha prevista de adjudicación, en formato dd-mm-aaaa</t>
        </r>
      </text>
    </comment>
    <comment ref="F228" authorId="2" shapeId="0">
      <text/>
    </comment>
    <comment ref="F229" authorId="2" shapeId="0">
      <text/>
    </comment>
    <comment ref="A231" authorId="2" shapeId="0">
      <text>
        <r>
          <rPr>
            <sz val="11"/>
            <color theme="1"/>
            <rFont val="Calibri"/>
            <family val="2"/>
            <scheme val="minor"/>
          </rPr>
          <t>Introduzca un codigo UNSPSC</t>
        </r>
      </text>
    </comment>
    <comment ref="B231" authorId="2" shapeId="0">
      <text>
        <r>
          <rPr>
            <sz val="11"/>
            <color theme="1"/>
            <rFont val="Calibri"/>
            <family val="2"/>
            <scheme val="minor"/>
          </rPr>
          <t>Descripción calculada automáticamente a partir de código del artículo</t>
        </r>
      </text>
    </comment>
    <comment ref="C231" authorId="2" shapeId="0">
      <text>
        <r>
          <rPr>
            <sz val="11"/>
            <color theme="1"/>
            <rFont val="Calibri"/>
            <family val="2"/>
            <scheme val="minor"/>
          </rPr>
          <t>Seleccione un valor de la lista</t>
        </r>
      </text>
    </comment>
    <comment ref="D231" authorId="2" shapeId="0">
      <text>
        <r>
          <rPr>
            <sz val="11"/>
            <color theme="1"/>
            <rFont val="Calibri"/>
            <family val="2"/>
            <scheme val="minor"/>
          </rPr>
          <t>Introduzca un número con dos decimales como máximo. Debe ser igual o mayor a la "Cantidad Real Consumida"</t>
        </r>
      </text>
    </comment>
    <comment ref="E231" authorId="2" shapeId="0">
      <text>
        <r>
          <rPr>
            <sz val="11"/>
            <color theme="1"/>
            <rFont val="Calibri"/>
            <family val="2"/>
            <scheme val="minor"/>
          </rPr>
          <t>Introduzca un número con dos decimales como máximo</t>
        </r>
      </text>
    </comment>
    <comment ref="F231" authorId="2" shapeId="0">
      <text>
        <r>
          <rPr>
            <sz val="11"/>
            <color theme="1"/>
            <rFont val="Calibri"/>
            <family val="2"/>
            <scheme val="minor"/>
          </rPr>
          <t>Monto calculado automáticamente por el sistema</t>
        </r>
      </text>
    </comment>
    <comment ref="A238" authorId="1" shapeId="0">
      <text>
        <r>
          <rPr>
            <sz val="11"/>
            <color theme="1"/>
            <rFont val="Calibri"/>
            <family val="2"/>
            <scheme val="minor"/>
          </rPr>
          <t>Introducir un texto con el nombre o referencia de la contratación</t>
        </r>
      </text>
    </comment>
    <comment ref="B238" authorId="1" shapeId="0">
      <text>
        <r>
          <rPr>
            <sz val="11"/>
            <color theme="1"/>
            <rFont val="Calibri"/>
            <family val="2"/>
            <scheme val="minor"/>
          </rPr>
          <t>Introduzca un texto con la finalidad de la contratación</t>
        </r>
      </text>
    </comment>
    <comment ref="C238" authorId="2" shapeId="0">
      <text>
        <r>
          <rPr>
            <sz val="11"/>
            <color theme="1"/>
            <rFont val="Calibri"/>
            <family val="2"/>
            <scheme val="minor"/>
          </rPr>
          <t>Seleccionar un valor del listado</t>
        </r>
      </text>
    </comment>
    <comment ref="D238" authorId="2" shapeId="0">
      <text>
        <r>
          <rPr>
            <sz val="11"/>
            <color theme="1"/>
            <rFont val="Calibri"/>
            <family val="2"/>
            <scheme val="minor"/>
          </rPr>
          <t>Seleccione el tipo de procedimiento</t>
        </r>
      </text>
    </comment>
    <comment ref="E238" authorId="2" shapeId="0">
      <text>
        <r>
          <rPr>
            <sz val="11"/>
            <color theme="1"/>
            <rFont val="Calibri"/>
            <family val="2"/>
            <scheme val="minor"/>
          </rPr>
          <t>Seleccione un valor de la lista</t>
        </r>
      </text>
    </comment>
    <comment ref="F238" authorId="2" shapeId="0">
      <text>
        <r>
          <rPr>
            <sz val="11"/>
            <color theme="1"/>
            <rFont val="Calibri"/>
            <family val="2"/>
            <scheme val="minor"/>
          </rPr>
          <t>Introduzca el código SNIP</t>
        </r>
      </text>
    </comment>
    <comment ref="C239" authorId="2" shapeId="0">
      <text>
        <r>
          <rPr>
            <sz val="11"/>
            <color theme="1"/>
            <rFont val="Calibri"/>
            <family val="2"/>
            <scheme val="minor"/>
          </rPr>
          <t>Introduzca la fecha de inicio del proceso, en formato dd-mm-aaaa</t>
        </r>
      </text>
    </comment>
    <comment ref="F2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2" shapeId="0">
      <text/>
    </comment>
    <comment ref="C241" authorId="2" shapeId="0">
      <text>
        <r>
          <rPr>
            <sz val="11"/>
            <color theme="1"/>
            <rFont val="Calibri"/>
            <family val="2"/>
            <scheme val="minor"/>
          </rPr>
          <t>Introduzca la fecha prevista de adjudicación, en formato dd-mm-aaaa</t>
        </r>
      </text>
    </comment>
    <comment ref="F241" authorId="2" shapeId="0">
      <text/>
    </comment>
    <comment ref="F242" authorId="2" shapeId="0">
      <text/>
    </comment>
    <comment ref="A244" authorId="2" shapeId="0">
      <text>
        <r>
          <rPr>
            <sz val="11"/>
            <color theme="1"/>
            <rFont val="Calibri"/>
            <family val="2"/>
            <scheme val="minor"/>
          </rPr>
          <t>Introduzca un codigo UNSPSC</t>
        </r>
      </text>
    </comment>
    <comment ref="B244" authorId="2" shapeId="0">
      <text>
        <r>
          <rPr>
            <sz val="11"/>
            <color theme="1"/>
            <rFont val="Calibri"/>
            <family val="2"/>
            <scheme val="minor"/>
          </rPr>
          <t>Descripción calculada automáticamente a partir de código del artículo</t>
        </r>
      </text>
    </comment>
    <comment ref="C244" authorId="2" shapeId="0">
      <text>
        <r>
          <rPr>
            <sz val="11"/>
            <color theme="1"/>
            <rFont val="Calibri"/>
            <family val="2"/>
            <scheme val="minor"/>
          </rPr>
          <t>Seleccione un valor de la lista</t>
        </r>
      </text>
    </comment>
    <comment ref="D244" authorId="2" shapeId="0">
      <text>
        <r>
          <rPr>
            <sz val="11"/>
            <color theme="1"/>
            <rFont val="Calibri"/>
            <family val="2"/>
            <scheme val="minor"/>
          </rPr>
          <t>Introduzca un número con dos decimales como máximo. Debe ser igual o mayor a la "Cantidad Real Consumida"</t>
        </r>
      </text>
    </comment>
    <comment ref="E244" authorId="2" shapeId="0">
      <text>
        <r>
          <rPr>
            <sz val="11"/>
            <color theme="1"/>
            <rFont val="Calibri"/>
            <family val="2"/>
            <scheme val="minor"/>
          </rPr>
          <t>Introduzca un número con dos decimales como máximo</t>
        </r>
      </text>
    </comment>
    <comment ref="F244" authorId="2" shapeId="0">
      <text>
        <r>
          <rPr>
            <sz val="11"/>
            <color theme="1"/>
            <rFont val="Calibri"/>
            <family val="2"/>
            <scheme val="minor"/>
          </rPr>
          <t>Monto calculado automáticamente por el sistema</t>
        </r>
      </text>
    </comment>
    <comment ref="A252" authorId="2" shapeId="0">
      <text>
        <r>
          <rPr>
            <sz val="11"/>
            <color theme="1"/>
            <rFont val="Calibri"/>
            <family val="2"/>
            <scheme val="minor"/>
          </rPr>
          <t>Introducir un texto con el nombre o referencia de la contratación</t>
        </r>
      </text>
    </comment>
    <comment ref="B252" authorId="2" shapeId="0">
      <text>
        <r>
          <rPr>
            <sz val="11"/>
            <color theme="1"/>
            <rFont val="Calibri"/>
            <family val="2"/>
            <scheme val="minor"/>
          </rPr>
          <t>Introduzca un texto con la finalidad de la contratación</t>
        </r>
      </text>
    </comment>
    <comment ref="C252" authorId="2" shapeId="0">
      <text>
        <r>
          <rPr>
            <sz val="11"/>
            <color theme="1"/>
            <rFont val="Calibri"/>
            <family val="2"/>
            <scheme val="minor"/>
          </rPr>
          <t>Seleccionar un valor del listado</t>
        </r>
      </text>
    </comment>
    <comment ref="D252" authorId="2" shapeId="0">
      <text>
        <r>
          <rPr>
            <sz val="11"/>
            <color theme="1"/>
            <rFont val="Calibri"/>
            <family val="2"/>
            <scheme val="minor"/>
          </rPr>
          <t>Seleccione el tipo de procedimiento</t>
        </r>
      </text>
    </comment>
    <comment ref="E252" authorId="2" shapeId="0">
      <text>
        <r>
          <rPr>
            <sz val="11"/>
            <color theme="1"/>
            <rFont val="Calibri"/>
            <family val="2"/>
            <scheme val="minor"/>
          </rPr>
          <t>Seleccione un valor de la lista</t>
        </r>
      </text>
    </comment>
    <comment ref="F252" authorId="2" shapeId="0">
      <text>
        <r>
          <rPr>
            <sz val="11"/>
            <color theme="1"/>
            <rFont val="Calibri"/>
            <family val="2"/>
            <scheme val="minor"/>
          </rPr>
          <t>Introduzca el código SNIP</t>
        </r>
      </text>
    </comment>
    <comment ref="C253" authorId="2" shapeId="0">
      <text>
        <r>
          <rPr>
            <sz val="11"/>
            <color theme="1"/>
            <rFont val="Calibri"/>
            <family val="2"/>
            <scheme val="minor"/>
          </rPr>
          <t>Introduzca la fecha de inicio del proceso, en formato dd-mm-aaaa</t>
        </r>
      </text>
    </comment>
    <comment ref="F2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2" shapeId="0">
      <text/>
    </comment>
    <comment ref="C255" authorId="2" shapeId="0">
      <text>
        <r>
          <rPr>
            <sz val="11"/>
            <color theme="1"/>
            <rFont val="Calibri"/>
            <family val="2"/>
            <scheme val="minor"/>
          </rPr>
          <t>Introduzca la fecha prevista de adjudicación, en formato dd-mm-aaaa</t>
        </r>
      </text>
    </comment>
    <comment ref="F255" authorId="2" shapeId="0">
      <text/>
    </comment>
    <comment ref="F256" authorId="2" shapeId="0">
      <text/>
    </comment>
    <comment ref="A258" authorId="2" shapeId="0">
      <text>
        <r>
          <rPr>
            <sz val="11"/>
            <color theme="1"/>
            <rFont val="Calibri"/>
            <family val="2"/>
            <scheme val="minor"/>
          </rPr>
          <t>Introduzca un codigo UNSPSC</t>
        </r>
      </text>
    </comment>
    <comment ref="B258" authorId="2" shapeId="0">
      <text>
        <r>
          <rPr>
            <sz val="11"/>
            <color theme="1"/>
            <rFont val="Calibri"/>
            <family val="2"/>
            <scheme val="minor"/>
          </rPr>
          <t>Descripción calculada automáticamente a partir de código del artículo</t>
        </r>
      </text>
    </comment>
    <comment ref="C258" authorId="2" shapeId="0">
      <text>
        <r>
          <rPr>
            <sz val="11"/>
            <color theme="1"/>
            <rFont val="Calibri"/>
            <family val="2"/>
            <scheme val="minor"/>
          </rPr>
          <t>Seleccione un valor de la lista</t>
        </r>
      </text>
    </comment>
    <comment ref="D258" authorId="2" shapeId="0">
      <text>
        <r>
          <rPr>
            <sz val="11"/>
            <color theme="1"/>
            <rFont val="Calibri"/>
            <family val="2"/>
            <scheme val="minor"/>
          </rPr>
          <t>Introduzca un número con dos decimales como máximo. Debe ser igual o mayor a la "Cantidad Real Consumida"</t>
        </r>
      </text>
    </comment>
    <comment ref="E258" authorId="2" shapeId="0">
      <text>
        <r>
          <rPr>
            <sz val="11"/>
            <color theme="1"/>
            <rFont val="Calibri"/>
            <family val="2"/>
            <scheme val="minor"/>
          </rPr>
          <t>Introduzca un número con dos decimales como máximo</t>
        </r>
      </text>
    </comment>
    <comment ref="F258" authorId="2" shapeId="0">
      <text>
        <r>
          <rPr>
            <sz val="11"/>
            <color theme="1"/>
            <rFont val="Calibri"/>
            <family val="2"/>
            <scheme val="minor"/>
          </rPr>
          <t>Monto calculado automáticamente por el sistema</t>
        </r>
      </text>
    </comment>
    <comment ref="A290" authorId="2" shapeId="0">
      <text>
        <r>
          <rPr>
            <sz val="11"/>
            <color theme="1"/>
            <rFont val="Calibri"/>
            <family val="2"/>
            <scheme val="minor"/>
          </rPr>
          <t>Introducir un texto con el nombre o referencia de la contratación</t>
        </r>
      </text>
    </comment>
    <comment ref="B290" authorId="2" shapeId="0">
      <text>
        <r>
          <rPr>
            <sz val="11"/>
            <color theme="1"/>
            <rFont val="Calibri"/>
            <family val="2"/>
            <scheme val="minor"/>
          </rPr>
          <t>Introduzca un texto con la finalidad de la contratación</t>
        </r>
      </text>
    </comment>
    <comment ref="C290" authorId="2" shapeId="0">
      <text>
        <r>
          <rPr>
            <sz val="11"/>
            <color theme="1"/>
            <rFont val="Calibri"/>
            <family val="2"/>
            <scheme val="minor"/>
          </rPr>
          <t>Seleccionar un valor del listado</t>
        </r>
      </text>
    </comment>
    <comment ref="D290" authorId="2" shapeId="0">
      <text>
        <r>
          <rPr>
            <sz val="11"/>
            <color theme="1"/>
            <rFont val="Calibri"/>
            <family val="2"/>
            <scheme val="minor"/>
          </rPr>
          <t>Seleccione el tipo de procedimiento</t>
        </r>
      </text>
    </comment>
    <comment ref="E290" authorId="2" shapeId="0">
      <text>
        <r>
          <rPr>
            <sz val="11"/>
            <color theme="1"/>
            <rFont val="Calibri"/>
            <family val="2"/>
            <scheme val="minor"/>
          </rPr>
          <t>Seleccione un valor de la lista</t>
        </r>
      </text>
    </comment>
    <comment ref="F290" authorId="2" shapeId="0">
      <text>
        <r>
          <rPr>
            <sz val="11"/>
            <color theme="1"/>
            <rFont val="Calibri"/>
            <family val="2"/>
            <scheme val="minor"/>
          </rPr>
          <t>Introduzca el código SNIP</t>
        </r>
      </text>
    </comment>
    <comment ref="C291" authorId="2" shapeId="0">
      <text>
        <r>
          <rPr>
            <sz val="11"/>
            <color theme="1"/>
            <rFont val="Calibri"/>
            <family val="2"/>
            <scheme val="minor"/>
          </rPr>
          <t>Introduzca la fecha de inicio del proceso, en formato dd-mm-aaaa</t>
        </r>
      </text>
    </comment>
    <comment ref="F2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2" shapeId="0">
      <text/>
    </comment>
    <comment ref="C293" authorId="2" shapeId="0">
      <text>
        <r>
          <rPr>
            <sz val="11"/>
            <color theme="1"/>
            <rFont val="Calibri"/>
            <family val="2"/>
            <scheme val="minor"/>
          </rPr>
          <t>Introduzca la fecha prevista de adjudicación, en formato dd-mm-aaaa</t>
        </r>
      </text>
    </comment>
    <comment ref="F293" authorId="2" shapeId="0">
      <text/>
    </comment>
    <comment ref="F294" authorId="2" shapeId="0">
      <text/>
    </comment>
    <comment ref="A296" authorId="2" shapeId="0">
      <text>
        <r>
          <rPr>
            <sz val="11"/>
            <color theme="1"/>
            <rFont val="Calibri"/>
            <family val="2"/>
            <scheme val="minor"/>
          </rPr>
          <t>Introduzca un codigo UNSPSC</t>
        </r>
      </text>
    </comment>
    <comment ref="B296" authorId="2" shapeId="0">
      <text>
        <r>
          <rPr>
            <sz val="11"/>
            <color theme="1"/>
            <rFont val="Calibri"/>
            <family val="2"/>
            <scheme val="minor"/>
          </rPr>
          <t>Descripción calculada automáticamente a partir de código del artículo</t>
        </r>
      </text>
    </comment>
    <comment ref="C296" authorId="2" shapeId="0">
      <text>
        <r>
          <rPr>
            <sz val="11"/>
            <color theme="1"/>
            <rFont val="Calibri"/>
            <family val="2"/>
            <scheme val="minor"/>
          </rPr>
          <t>Seleccione un valor de la lista</t>
        </r>
      </text>
    </comment>
    <comment ref="D296" authorId="2" shapeId="0">
      <text>
        <r>
          <rPr>
            <sz val="11"/>
            <color theme="1"/>
            <rFont val="Calibri"/>
            <family val="2"/>
            <scheme val="minor"/>
          </rPr>
          <t>Introduzca un número con dos decimales como máximo. Debe ser igual o mayor a la "Cantidad Real Consumida"</t>
        </r>
      </text>
    </comment>
    <comment ref="E296" authorId="2" shapeId="0">
      <text>
        <r>
          <rPr>
            <sz val="11"/>
            <color theme="1"/>
            <rFont val="Calibri"/>
            <family val="2"/>
            <scheme val="minor"/>
          </rPr>
          <t>Introduzca un número con dos decimales como máximo</t>
        </r>
      </text>
    </comment>
    <comment ref="F296" authorId="2" shapeId="0">
      <text>
        <r>
          <rPr>
            <sz val="11"/>
            <color theme="1"/>
            <rFont val="Calibri"/>
            <family val="2"/>
            <scheme val="minor"/>
          </rPr>
          <t>Monto calculado automáticamente por el sistema</t>
        </r>
      </text>
    </comment>
    <comment ref="A302" authorId="2" shapeId="0">
      <text>
        <r>
          <rPr>
            <sz val="11"/>
            <color theme="1"/>
            <rFont val="Calibri"/>
            <family val="2"/>
            <scheme val="minor"/>
          </rPr>
          <t>Introducir un texto con el nombre o referencia de la contratación</t>
        </r>
      </text>
    </comment>
    <comment ref="B302" authorId="2" shapeId="0">
      <text>
        <r>
          <rPr>
            <sz val="11"/>
            <color theme="1"/>
            <rFont val="Calibri"/>
            <family val="2"/>
            <scheme val="minor"/>
          </rPr>
          <t>Introduzca un texto con la finalidad de la contratación</t>
        </r>
      </text>
    </comment>
    <comment ref="C302" authorId="2" shapeId="0">
      <text>
        <r>
          <rPr>
            <sz val="11"/>
            <color theme="1"/>
            <rFont val="Calibri"/>
            <family val="2"/>
            <scheme val="minor"/>
          </rPr>
          <t>Seleccionar un valor del listado</t>
        </r>
      </text>
    </comment>
    <comment ref="D302" authorId="2" shapeId="0">
      <text>
        <r>
          <rPr>
            <sz val="11"/>
            <color theme="1"/>
            <rFont val="Calibri"/>
            <family val="2"/>
            <scheme val="minor"/>
          </rPr>
          <t>Seleccione el tipo de procedimiento</t>
        </r>
      </text>
    </comment>
    <comment ref="E302" authorId="2" shapeId="0">
      <text>
        <r>
          <rPr>
            <sz val="11"/>
            <color theme="1"/>
            <rFont val="Calibri"/>
            <family val="2"/>
            <scheme val="minor"/>
          </rPr>
          <t>Seleccione un valor de la lista</t>
        </r>
      </text>
    </comment>
    <comment ref="F302" authorId="2" shapeId="0">
      <text>
        <r>
          <rPr>
            <sz val="11"/>
            <color theme="1"/>
            <rFont val="Calibri"/>
            <family val="2"/>
            <scheme val="minor"/>
          </rPr>
          <t>Introduzca el código SNIP</t>
        </r>
      </text>
    </comment>
    <comment ref="C303" authorId="2" shapeId="0">
      <text>
        <r>
          <rPr>
            <sz val="11"/>
            <color theme="1"/>
            <rFont val="Calibri"/>
            <family val="2"/>
            <scheme val="minor"/>
          </rPr>
          <t>Introduzca la fecha de inicio del proceso, en formato dd-mm-aaaa</t>
        </r>
      </text>
    </comment>
    <comment ref="F3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2" shapeId="0">
      <text/>
    </comment>
    <comment ref="C305" authorId="2" shapeId="0">
      <text>
        <r>
          <rPr>
            <sz val="11"/>
            <color theme="1"/>
            <rFont val="Calibri"/>
            <family val="2"/>
            <scheme val="minor"/>
          </rPr>
          <t>Introduzca la fecha prevista de adjudicación, en formato dd-mm-aaaa</t>
        </r>
      </text>
    </comment>
    <comment ref="F305" authorId="2" shapeId="0">
      <text/>
    </comment>
    <comment ref="F306" authorId="2" shapeId="0">
      <text/>
    </comment>
    <comment ref="A308" authorId="2" shapeId="0">
      <text>
        <r>
          <rPr>
            <sz val="11"/>
            <color theme="1"/>
            <rFont val="Calibri"/>
            <family val="2"/>
            <scheme val="minor"/>
          </rPr>
          <t>Introduzca un codigo UNSPSC</t>
        </r>
      </text>
    </comment>
    <comment ref="B308" authorId="2" shapeId="0">
      <text>
        <r>
          <rPr>
            <sz val="11"/>
            <color theme="1"/>
            <rFont val="Calibri"/>
            <family val="2"/>
            <scheme val="minor"/>
          </rPr>
          <t>Descripción calculada automáticamente a partir de código del artículo</t>
        </r>
      </text>
    </comment>
    <comment ref="C308" authorId="2" shapeId="0">
      <text>
        <r>
          <rPr>
            <sz val="11"/>
            <color theme="1"/>
            <rFont val="Calibri"/>
            <family val="2"/>
            <scheme val="minor"/>
          </rPr>
          <t>Seleccione un valor de la lista</t>
        </r>
      </text>
    </comment>
    <comment ref="D308" authorId="2" shapeId="0">
      <text>
        <r>
          <rPr>
            <sz val="11"/>
            <color theme="1"/>
            <rFont val="Calibri"/>
            <family val="2"/>
            <scheme val="minor"/>
          </rPr>
          <t>Introduzca un número con dos decimales como máximo. Debe ser igual o mayor a la "Cantidad Real Consumida"</t>
        </r>
      </text>
    </comment>
    <comment ref="E308" authorId="2" shapeId="0">
      <text>
        <r>
          <rPr>
            <sz val="11"/>
            <color theme="1"/>
            <rFont val="Calibri"/>
            <family val="2"/>
            <scheme val="minor"/>
          </rPr>
          <t>Introduzca un número con dos decimales como máximo</t>
        </r>
      </text>
    </comment>
    <comment ref="F308" authorId="2" shapeId="0">
      <text>
        <r>
          <rPr>
            <sz val="11"/>
            <color theme="1"/>
            <rFont val="Calibri"/>
            <family val="2"/>
            <scheme val="minor"/>
          </rPr>
          <t>Monto calculado automáticamente por el sistema</t>
        </r>
      </text>
    </comment>
    <comment ref="A313" authorId="2" shapeId="0">
      <text>
        <r>
          <rPr>
            <sz val="11"/>
            <color theme="1"/>
            <rFont val="Calibri"/>
            <family val="2"/>
            <scheme val="minor"/>
          </rPr>
          <t>Introducir un texto con el nombre o referencia de la contratación</t>
        </r>
      </text>
    </comment>
    <comment ref="B313" authorId="2" shapeId="0">
      <text>
        <r>
          <rPr>
            <sz val="11"/>
            <color theme="1"/>
            <rFont val="Calibri"/>
            <family val="2"/>
            <scheme val="minor"/>
          </rPr>
          <t>Introduzca un texto con la finalidad de la contratación</t>
        </r>
      </text>
    </comment>
    <comment ref="C313" authorId="2" shapeId="0">
      <text>
        <r>
          <rPr>
            <sz val="11"/>
            <color theme="1"/>
            <rFont val="Calibri"/>
            <family val="2"/>
            <scheme val="minor"/>
          </rPr>
          <t>Seleccionar un valor del listado</t>
        </r>
      </text>
    </comment>
    <comment ref="D313" authorId="2" shapeId="0">
      <text>
        <r>
          <rPr>
            <sz val="11"/>
            <color theme="1"/>
            <rFont val="Calibri"/>
            <family val="2"/>
            <scheme val="minor"/>
          </rPr>
          <t>Seleccione el tipo de procedimiento</t>
        </r>
      </text>
    </comment>
    <comment ref="E313" authorId="2" shapeId="0">
      <text>
        <r>
          <rPr>
            <sz val="11"/>
            <color theme="1"/>
            <rFont val="Calibri"/>
            <family val="2"/>
            <scheme val="minor"/>
          </rPr>
          <t>Seleccione un valor de la lista</t>
        </r>
      </text>
    </comment>
    <comment ref="F313" authorId="2" shapeId="0">
      <text>
        <r>
          <rPr>
            <sz val="11"/>
            <color theme="1"/>
            <rFont val="Calibri"/>
            <family val="2"/>
            <scheme val="minor"/>
          </rPr>
          <t>Introduzca el código SNIP</t>
        </r>
      </text>
    </comment>
    <comment ref="C314" authorId="2" shapeId="0">
      <text>
        <r>
          <rPr>
            <sz val="11"/>
            <color theme="1"/>
            <rFont val="Calibri"/>
            <family val="2"/>
            <scheme val="minor"/>
          </rPr>
          <t>Introduzca la fecha de inicio del proceso, en formato dd-mm-aaaa</t>
        </r>
      </text>
    </comment>
    <comment ref="F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2" shapeId="0">
      <text/>
    </comment>
    <comment ref="C316" authorId="2" shapeId="0">
      <text>
        <r>
          <rPr>
            <sz val="11"/>
            <color theme="1"/>
            <rFont val="Calibri"/>
            <family val="2"/>
            <scheme val="minor"/>
          </rPr>
          <t>Introduzca la fecha prevista de adjudicación, en formato dd-mm-aaaa</t>
        </r>
      </text>
    </comment>
    <comment ref="F316" authorId="2" shapeId="0">
      <text/>
    </comment>
    <comment ref="F317" authorId="2" shapeId="0">
      <text/>
    </comment>
    <comment ref="A319" authorId="2" shapeId="0">
      <text>
        <r>
          <rPr>
            <sz val="11"/>
            <color theme="1"/>
            <rFont val="Calibri"/>
            <family val="2"/>
            <scheme val="minor"/>
          </rPr>
          <t>Introduzca un codigo UNSPSC</t>
        </r>
      </text>
    </comment>
    <comment ref="B319" authorId="2" shapeId="0">
      <text>
        <r>
          <rPr>
            <sz val="11"/>
            <color theme="1"/>
            <rFont val="Calibri"/>
            <family val="2"/>
            <scheme val="minor"/>
          </rPr>
          <t>Descripción calculada automáticamente a partir de código del artículo</t>
        </r>
      </text>
    </comment>
    <comment ref="C319" authorId="2" shapeId="0">
      <text>
        <r>
          <rPr>
            <sz val="11"/>
            <color theme="1"/>
            <rFont val="Calibri"/>
            <family val="2"/>
            <scheme val="minor"/>
          </rPr>
          <t>Seleccione un valor de la lista</t>
        </r>
      </text>
    </comment>
    <comment ref="D319" authorId="2" shapeId="0">
      <text>
        <r>
          <rPr>
            <sz val="11"/>
            <color theme="1"/>
            <rFont val="Calibri"/>
            <family val="2"/>
            <scheme val="minor"/>
          </rPr>
          <t>Introduzca un número con dos decimales como máximo. Debe ser igual o mayor a la "Cantidad Real Consumida"</t>
        </r>
      </text>
    </comment>
    <comment ref="E319" authorId="2" shapeId="0">
      <text>
        <r>
          <rPr>
            <sz val="11"/>
            <color theme="1"/>
            <rFont val="Calibri"/>
            <family val="2"/>
            <scheme val="minor"/>
          </rPr>
          <t>Introduzca un número con dos decimales como máximo</t>
        </r>
      </text>
    </comment>
    <comment ref="F319" authorId="2" shapeId="0">
      <text>
        <r>
          <rPr>
            <sz val="11"/>
            <color theme="1"/>
            <rFont val="Calibri"/>
            <family val="2"/>
            <scheme val="minor"/>
          </rPr>
          <t>Monto calculado automáticamente por el sistema</t>
        </r>
      </text>
    </comment>
    <comment ref="A324" authorId="2" shapeId="0">
      <text>
        <r>
          <rPr>
            <sz val="11"/>
            <color theme="1"/>
            <rFont val="Calibri"/>
            <family val="2"/>
            <scheme val="minor"/>
          </rPr>
          <t>Introducir un texto con el nombre o referencia de la contratación</t>
        </r>
      </text>
    </comment>
    <comment ref="B324" authorId="2" shapeId="0">
      <text>
        <r>
          <rPr>
            <sz val="11"/>
            <color theme="1"/>
            <rFont val="Calibri"/>
            <family val="2"/>
            <scheme val="minor"/>
          </rPr>
          <t>Introduzca un texto con la finalidad de la contratación</t>
        </r>
      </text>
    </comment>
    <comment ref="C324" authorId="2" shapeId="0">
      <text>
        <r>
          <rPr>
            <sz val="11"/>
            <color theme="1"/>
            <rFont val="Calibri"/>
            <family val="2"/>
            <scheme val="minor"/>
          </rPr>
          <t>Seleccionar un valor del listado</t>
        </r>
      </text>
    </comment>
    <comment ref="D324" authorId="2" shapeId="0">
      <text>
        <r>
          <rPr>
            <sz val="11"/>
            <color theme="1"/>
            <rFont val="Calibri"/>
            <family val="2"/>
            <scheme val="minor"/>
          </rPr>
          <t>Seleccione el tipo de procedimiento</t>
        </r>
      </text>
    </comment>
    <comment ref="E324" authorId="2" shapeId="0">
      <text>
        <r>
          <rPr>
            <sz val="11"/>
            <color theme="1"/>
            <rFont val="Calibri"/>
            <family val="2"/>
            <scheme val="minor"/>
          </rPr>
          <t>Seleccione un valor de la lista</t>
        </r>
      </text>
    </comment>
    <comment ref="F324" authorId="2" shapeId="0">
      <text>
        <r>
          <rPr>
            <sz val="11"/>
            <color theme="1"/>
            <rFont val="Calibri"/>
            <family val="2"/>
            <scheme val="minor"/>
          </rPr>
          <t>Introduzca el código SNIP</t>
        </r>
      </text>
    </comment>
    <comment ref="C325" authorId="2" shapeId="0">
      <text>
        <r>
          <rPr>
            <sz val="11"/>
            <color theme="1"/>
            <rFont val="Calibri"/>
            <family val="2"/>
            <scheme val="minor"/>
          </rPr>
          <t>Introduzca la fecha de inicio del proceso, en formato dd-mm-aaaa</t>
        </r>
      </text>
    </comment>
    <comment ref="F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text/>
    </comment>
    <comment ref="C327" authorId="2" shapeId="0">
      <text>
        <r>
          <rPr>
            <sz val="11"/>
            <color theme="1"/>
            <rFont val="Calibri"/>
            <family val="2"/>
            <scheme val="minor"/>
          </rPr>
          <t>Introduzca la fecha prevista de adjudicación, en formato dd-mm-aaaa</t>
        </r>
      </text>
    </comment>
    <comment ref="F327" authorId="2" shapeId="0">
      <text/>
    </comment>
    <comment ref="F328" authorId="2" shapeId="0">
      <text/>
    </comment>
    <comment ref="A330" authorId="2" shapeId="0">
      <text>
        <r>
          <rPr>
            <sz val="11"/>
            <color theme="1"/>
            <rFont val="Calibri"/>
            <family val="2"/>
            <scheme val="minor"/>
          </rPr>
          <t>Introduzca un codigo UNSPSC</t>
        </r>
      </text>
    </comment>
    <comment ref="B330" authorId="2" shapeId="0">
      <text>
        <r>
          <rPr>
            <sz val="11"/>
            <color theme="1"/>
            <rFont val="Calibri"/>
            <family val="2"/>
            <scheme val="minor"/>
          </rPr>
          <t>Descripción calculada automáticamente a partir de código del artículo</t>
        </r>
      </text>
    </comment>
    <comment ref="C330" authorId="2" shapeId="0">
      <text>
        <r>
          <rPr>
            <sz val="11"/>
            <color theme="1"/>
            <rFont val="Calibri"/>
            <family val="2"/>
            <scheme val="minor"/>
          </rPr>
          <t>Seleccione un valor de la lista</t>
        </r>
      </text>
    </comment>
    <comment ref="D330" authorId="2" shapeId="0">
      <text>
        <r>
          <rPr>
            <sz val="11"/>
            <color theme="1"/>
            <rFont val="Calibri"/>
            <family val="2"/>
            <scheme val="minor"/>
          </rPr>
          <t>Introduzca un número con dos decimales como máximo. Debe ser igual o mayor a la "Cantidad Real Consumida"</t>
        </r>
      </text>
    </comment>
    <comment ref="E330" authorId="2" shapeId="0">
      <text>
        <r>
          <rPr>
            <sz val="11"/>
            <color theme="1"/>
            <rFont val="Calibri"/>
            <family val="2"/>
            <scheme val="minor"/>
          </rPr>
          <t>Introduzca un número con dos decimales como máximo</t>
        </r>
      </text>
    </comment>
    <comment ref="F330" authorId="2" shapeId="0">
      <text>
        <r>
          <rPr>
            <sz val="11"/>
            <color theme="1"/>
            <rFont val="Calibri"/>
            <family val="2"/>
            <scheme val="minor"/>
          </rPr>
          <t>Monto calculado automáticamente por el sistema</t>
        </r>
      </text>
    </comment>
    <comment ref="A335" authorId="2" shapeId="0">
      <text>
        <r>
          <rPr>
            <sz val="11"/>
            <color theme="1"/>
            <rFont val="Calibri"/>
            <family val="2"/>
            <scheme val="minor"/>
          </rPr>
          <t>Introducir un texto con el nombre o referencia de la contratación</t>
        </r>
      </text>
    </comment>
    <comment ref="B335" authorId="2" shapeId="0">
      <text>
        <r>
          <rPr>
            <sz val="11"/>
            <color theme="1"/>
            <rFont val="Calibri"/>
            <family val="2"/>
            <scheme val="minor"/>
          </rPr>
          <t>Introduzca un texto con la finalidad de la contratación</t>
        </r>
      </text>
    </comment>
    <comment ref="C335" authorId="2" shapeId="0">
      <text>
        <r>
          <rPr>
            <sz val="11"/>
            <color theme="1"/>
            <rFont val="Calibri"/>
            <family val="2"/>
            <scheme val="minor"/>
          </rPr>
          <t>Seleccionar un valor del listado</t>
        </r>
      </text>
    </comment>
    <comment ref="D335" authorId="2" shapeId="0">
      <text>
        <r>
          <rPr>
            <sz val="11"/>
            <color theme="1"/>
            <rFont val="Calibri"/>
            <family val="2"/>
            <scheme val="minor"/>
          </rPr>
          <t>Seleccione el tipo de procedimiento</t>
        </r>
      </text>
    </comment>
    <comment ref="E335" authorId="2" shapeId="0">
      <text>
        <r>
          <rPr>
            <sz val="11"/>
            <color theme="1"/>
            <rFont val="Calibri"/>
            <family val="2"/>
            <scheme val="minor"/>
          </rPr>
          <t>Seleccione un valor de la lista</t>
        </r>
      </text>
    </comment>
    <comment ref="F335" authorId="2" shapeId="0">
      <text>
        <r>
          <rPr>
            <sz val="11"/>
            <color theme="1"/>
            <rFont val="Calibri"/>
            <family val="2"/>
            <scheme val="minor"/>
          </rPr>
          <t>Introduzca el código SNIP</t>
        </r>
      </text>
    </comment>
    <comment ref="C336" authorId="2" shapeId="0">
      <text>
        <r>
          <rPr>
            <sz val="11"/>
            <color theme="1"/>
            <rFont val="Calibri"/>
            <family val="2"/>
            <scheme val="minor"/>
          </rPr>
          <t>Introduzca la fecha de inicio del proceso, en formato dd-mm-aaaa</t>
        </r>
      </text>
    </comment>
    <comment ref="F3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text/>
    </comment>
    <comment ref="C338" authorId="2" shapeId="0">
      <text>
        <r>
          <rPr>
            <sz val="11"/>
            <color theme="1"/>
            <rFont val="Calibri"/>
            <family val="2"/>
            <scheme val="minor"/>
          </rPr>
          <t>Introduzca la fecha prevista de adjudicación, en formato dd-mm-aaaa</t>
        </r>
      </text>
    </comment>
    <comment ref="F338" authorId="2" shapeId="0">
      <text/>
    </comment>
    <comment ref="F339" authorId="2" shapeId="0">
      <text/>
    </comment>
    <comment ref="A341" authorId="2" shapeId="0">
      <text>
        <r>
          <rPr>
            <sz val="11"/>
            <color theme="1"/>
            <rFont val="Calibri"/>
            <family val="2"/>
            <scheme val="minor"/>
          </rPr>
          <t>Introduzca un codigo UNSPSC</t>
        </r>
      </text>
    </comment>
    <comment ref="B341" authorId="2" shapeId="0">
      <text>
        <r>
          <rPr>
            <sz val="11"/>
            <color theme="1"/>
            <rFont val="Calibri"/>
            <family val="2"/>
            <scheme val="minor"/>
          </rPr>
          <t>Descripción calculada automáticamente a partir de código del artículo</t>
        </r>
      </text>
    </comment>
    <comment ref="C341" authorId="2" shapeId="0">
      <text>
        <r>
          <rPr>
            <sz val="11"/>
            <color theme="1"/>
            <rFont val="Calibri"/>
            <family val="2"/>
            <scheme val="minor"/>
          </rPr>
          <t>Seleccione un valor de la lista</t>
        </r>
      </text>
    </comment>
    <comment ref="D341" authorId="2" shapeId="0">
      <text>
        <r>
          <rPr>
            <sz val="11"/>
            <color theme="1"/>
            <rFont val="Calibri"/>
            <family val="2"/>
            <scheme val="minor"/>
          </rPr>
          <t>Introduzca un número con dos decimales como máximo. Debe ser igual o mayor a la "Cantidad Real Consumida"</t>
        </r>
      </text>
    </comment>
    <comment ref="E341" authorId="2" shapeId="0">
      <text>
        <r>
          <rPr>
            <sz val="11"/>
            <color theme="1"/>
            <rFont val="Calibri"/>
            <family val="2"/>
            <scheme val="minor"/>
          </rPr>
          <t>Introduzca un número con dos decimales como máximo</t>
        </r>
      </text>
    </comment>
    <comment ref="F341" authorId="2" shapeId="0">
      <text>
        <r>
          <rPr>
            <sz val="11"/>
            <color theme="1"/>
            <rFont val="Calibri"/>
            <family val="2"/>
            <scheme val="minor"/>
          </rPr>
          <t>Monto calculado automáticamente por el sistema</t>
        </r>
      </text>
    </comment>
    <comment ref="A349" authorId="2" shapeId="0">
      <text>
        <r>
          <rPr>
            <sz val="11"/>
            <color theme="1"/>
            <rFont val="Calibri"/>
            <family val="2"/>
            <scheme val="minor"/>
          </rPr>
          <t>Introducir un texto con el nombre o referencia de la contratación</t>
        </r>
      </text>
    </comment>
    <comment ref="B349" authorId="2" shapeId="0">
      <text>
        <r>
          <rPr>
            <sz val="11"/>
            <color theme="1"/>
            <rFont val="Calibri"/>
            <family val="2"/>
            <scheme val="minor"/>
          </rPr>
          <t>Introduzca un texto con la finalidad de la contratación</t>
        </r>
      </text>
    </comment>
    <comment ref="C349" authorId="2" shapeId="0">
      <text>
        <r>
          <rPr>
            <sz val="11"/>
            <color theme="1"/>
            <rFont val="Calibri"/>
            <family val="2"/>
            <scheme val="minor"/>
          </rPr>
          <t>Seleccionar un valor del listado</t>
        </r>
      </text>
    </comment>
    <comment ref="D349" authorId="2" shapeId="0">
      <text>
        <r>
          <rPr>
            <sz val="11"/>
            <color theme="1"/>
            <rFont val="Calibri"/>
            <family val="2"/>
            <scheme val="minor"/>
          </rPr>
          <t>Seleccione el tipo de procedimiento</t>
        </r>
      </text>
    </comment>
    <comment ref="E349" authorId="2" shapeId="0">
      <text>
        <r>
          <rPr>
            <sz val="11"/>
            <color theme="1"/>
            <rFont val="Calibri"/>
            <family val="2"/>
            <scheme val="minor"/>
          </rPr>
          <t>Seleccione un valor de la lista</t>
        </r>
      </text>
    </comment>
    <comment ref="F349" authorId="2" shapeId="0">
      <text>
        <r>
          <rPr>
            <sz val="11"/>
            <color theme="1"/>
            <rFont val="Calibri"/>
            <family val="2"/>
            <scheme val="minor"/>
          </rPr>
          <t>Introduzca el código SNIP</t>
        </r>
      </text>
    </comment>
    <comment ref="C350" authorId="2" shapeId="0">
      <text>
        <r>
          <rPr>
            <sz val="11"/>
            <color theme="1"/>
            <rFont val="Calibri"/>
            <family val="2"/>
            <scheme val="minor"/>
          </rPr>
          <t>Introduzca la fecha de inicio del proceso, en formato dd-mm-aaaa</t>
        </r>
      </text>
    </comment>
    <comment ref="F3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shapeId="0">
      <text/>
    </comment>
    <comment ref="C352" authorId="2" shapeId="0">
      <text>
        <r>
          <rPr>
            <sz val="11"/>
            <color theme="1"/>
            <rFont val="Calibri"/>
            <family val="2"/>
            <scheme val="minor"/>
          </rPr>
          <t>Introduzca la fecha prevista de adjudicación, en formato dd-mm-aaaa</t>
        </r>
      </text>
    </comment>
    <comment ref="F352" authorId="2" shapeId="0">
      <text/>
    </comment>
    <comment ref="F353" authorId="2" shapeId="0">
      <text/>
    </comment>
    <comment ref="A355" authorId="2" shapeId="0">
      <text>
        <r>
          <rPr>
            <sz val="11"/>
            <color theme="1"/>
            <rFont val="Calibri"/>
            <family val="2"/>
            <scheme val="minor"/>
          </rPr>
          <t>Introduzca un codigo UNSPSC</t>
        </r>
      </text>
    </comment>
    <comment ref="B355" authorId="2" shapeId="0">
      <text>
        <r>
          <rPr>
            <sz val="11"/>
            <color theme="1"/>
            <rFont val="Calibri"/>
            <family val="2"/>
            <scheme val="minor"/>
          </rPr>
          <t>Descripción calculada automáticamente a partir de código del artículo</t>
        </r>
      </text>
    </comment>
    <comment ref="C355" authorId="2" shapeId="0">
      <text>
        <r>
          <rPr>
            <sz val="11"/>
            <color theme="1"/>
            <rFont val="Calibri"/>
            <family val="2"/>
            <scheme val="minor"/>
          </rPr>
          <t>Seleccione un valor de la lista</t>
        </r>
      </text>
    </comment>
    <comment ref="D355" authorId="2" shapeId="0">
      <text>
        <r>
          <rPr>
            <sz val="11"/>
            <color theme="1"/>
            <rFont val="Calibri"/>
            <family val="2"/>
            <scheme val="minor"/>
          </rPr>
          <t>Introduzca un número con dos decimales como máximo. Debe ser igual o mayor a la "Cantidad Real Consumida"</t>
        </r>
      </text>
    </comment>
    <comment ref="E355" authorId="2" shapeId="0">
      <text>
        <r>
          <rPr>
            <sz val="11"/>
            <color theme="1"/>
            <rFont val="Calibri"/>
            <family val="2"/>
            <scheme val="minor"/>
          </rPr>
          <t>Introduzca un número con dos decimales como máximo</t>
        </r>
      </text>
    </comment>
    <comment ref="F355" authorId="2" shapeId="0">
      <text>
        <r>
          <rPr>
            <sz val="11"/>
            <color theme="1"/>
            <rFont val="Calibri"/>
            <family val="2"/>
            <scheme val="minor"/>
          </rPr>
          <t>Monto calculado automáticamente por el sistema</t>
        </r>
      </text>
    </comment>
    <comment ref="A360" authorId="2" shapeId="0">
      <text>
        <r>
          <rPr>
            <sz val="11"/>
            <color theme="1"/>
            <rFont val="Calibri"/>
            <family val="2"/>
            <scheme val="minor"/>
          </rPr>
          <t>Introducir un texto con el nombre o referencia de la contratación</t>
        </r>
      </text>
    </comment>
    <comment ref="B360" authorId="2" shapeId="0">
      <text>
        <r>
          <rPr>
            <sz val="11"/>
            <color theme="1"/>
            <rFont val="Calibri"/>
            <family val="2"/>
            <scheme val="minor"/>
          </rPr>
          <t>Introduzca un texto con la finalidad de la contratación</t>
        </r>
      </text>
    </comment>
    <comment ref="C360" authorId="2" shapeId="0">
      <text>
        <r>
          <rPr>
            <sz val="11"/>
            <color theme="1"/>
            <rFont val="Calibri"/>
            <family val="2"/>
            <scheme val="minor"/>
          </rPr>
          <t>Seleccionar un valor del listado</t>
        </r>
      </text>
    </comment>
    <comment ref="D360" authorId="2" shapeId="0">
      <text>
        <r>
          <rPr>
            <sz val="11"/>
            <color theme="1"/>
            <rFont val="Calibri"/>
            <family val="2"/>
            <scheme val="minor"/>
          </rPr>
          <t>Seleccione el tipo de procedimiento</t>
        </r>
      </text>
    </comment>
    <comment ref="E360" authorId="2" shapeId="0">
      <text>
        <r>
          <rPr>
            <sz val="11"/>
            <color theme="1"/>
            <rFont val="Calibri"/>
            <family val="2"/>
            <scheme val="minor"/>
          </rPr>
          <t>Seleccione un valor de la lista</t>
        </r>
      </text>
    </comment>
    <comment ref="F360" authorId="2" shapeId="0">
      <text>
        <r>
          <rPr>
            <sz val="11"/>
            <color theme="1"/>
            <rFont val="Calibri"/>
            <family val="2"/>
            <scheme val="minor"/>
          </rPr>
          <t>Introduzca el código SNIP</t>
        </r>
      </text>
    </comment>
    <comment ref="C361" authorId="2" shapeId="0">
      <text>
        <r>
          <rPr>
            <sz val="11"/>
            <color theme="1"/>
            <rFont val="Calibri"/>
            <family val="2"/>
            <scheme val="minor"/>
          </rPr>
          <t>Introduzca la fecha de inicio del proceso, en formato dd-mm-aaaa</t>
        </r>
      </text>
    </comment>
    <comment ref="F3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2" shapeId="0">
      <text/>
    </comment>
    <comment ref="C363" authorId="2" shapeId="0">
      <text>
        <r>
          <rPr>
            <sz val="11"/>
            <color theme="1"/>
            <rFont val="Calibri"/>
            <family val="2"/>
            <scheme val="minor"/>
          </rPr>
          <t>Introduzca la fecha prevista de adjudicación, en formato dd-mm-aaaa</t>
        </r>
      </text>
    </comment>
    <comment ref="F363" authorId="2" shapeId="0">
      <text/>
    </comment>
    <comment ref="F364" authorId="2" shapeId="0">
      <text/>
    </comment>
    <comment ref="A366" authorId="2" shapeId="0">
      <text>
        <r>
          <rPr>
            <sz val="11"/>
            <color theme="1"/>
            <rFont val="Calibri"/>
            <family val="2"/>
            <scheme val="minor"/>
          </rPr>
          <t>Introduzca un codigo UNSPSC</t>
        </r>
      </text>
    </comment>
    <comment ref="B366" authorId="2" shapeId="0">
      <text>
        <r>
          <rPr>
            <sz val="11"/>
            <color theme="1"/>
            <rFont val="Calibri"/>
            <family val="2"/>
            <scheme val="minor"/>
          </rPr>
          <t>Descripción calculada automáticamente a partir de código del artículo</t>
        </r>
      </text>
    </comment>
    <comment ref="C366" authorId="2" shapeId="0">
      <text>
        <r>
          <rPr>
            <sz val="11"/>
            <color theme="1"/>
            <rFont val="Calibri"/>
            <family val="2"/>
            <scheme val="minor"/>
          </rPr>
          <t>Seleccione un valor de la lista</t>
        </r>
      </text>
    </comment>
    <comment ref="D366" authorId="2" shapeId="0">
      <text>
        <r>
          <rPr>
            <sz val="11"/>
            <color theme="1"/>
            <rFont val="Calibri"/>
            <family val="2"/>
            <scheme val="minor"/>
          </rPr>
          <t>Introduzca un número con dos decimales como máximo. Debe ser igual o mayor a la "Cantidad Real Consumida"</t>
        </r>
      </text>
    </comment>
    <comment ref="E366" authorId="2" shapeId="0">
      <text>
        <r>
          <rPr>
            <sz val="11"/>
            <color theme="1"/>
            <rFont val="Calibri"/>
            <family val="2"/>
            <scheme val="minor"/>
          </rPr>
          <t>Introduzca un número con dos decimales como máximo</t>
        </r>
      </text>
    </comment>
    <comment ref="F366" authorId="2" shapeId="0">
      <text>
        <r>
          <rPr>
            <sz val="11"/>
            <color theme="1"/>
            <rFont val="Calibri"/>
            <family val="2"/>
            <scheme val="minor"/>
          </rPr>
          <t>Monto calculado automáticamente por el sistema</t>
        </r>
      </text>
    </comment>
    <comment ref="A371" authorId="2" shapeId="0">
      <text>
        <r>
          <rPr>
            <sz val="11"/>
            <color theme="1"/>
            <rFont val="Calibri"/>
            <family val="2"/>
            <scheme val="minor"/>
          </rPr>
          <t>Introducir un texto con el nombre o referencia de la contratación</t>
        </r>
      </text>
    </comment>
    <comment ref="B371" authorId="2" shapeId="0">
      <text>
        <r>
          <rPr>
            <sz val="11"/>
            <color theme="1"/>
            <rFont val="Calibri"/>
            <family val="2"/>
            <scheme val="minor"/>
          </rPr>
          <t>Introduzca un texto con la finalidad de la contratación</t>
        </r>
      </text>
    </comment>
    <comment ref="C371" authorId="2" shapeId="0">
      <text>
        <r>
          <rPr>
            <sz val="11"/>
            <color theme="1"/>
            <rFont val="Calibri"/>
            <family val="2"/>
            <scheme val="minor"/>
          </rPr>
          <t>Seleccionar un valor del listado</t>
        </r>
      </text>
    </comment>
    <comment ref="D371" authorId="2" shapeId="0">
      <text>
        <r>
          <rPr>
            <sz val="11"/>
            <color theme="1"/>
            <rFont val="Calibri"/>
            <family val="2"/>
            <scheme val="minor"/>
          </rPr>
          <t>Seleccione el tipo de procedimiento</t>
        </r>
      </text>
    </comment>
    <comment ref="E371" authorId="2" shapeId="0">
      <text>
        <r>
          <rPr>
            <sz val="11"/>
            <color theme="1"/>
            <rFont val="Calibri"/>
            <family val="2"/>
            <scheme val="minor"/>
          </rPr>
          <t>Seleccione un valor de la lista</t>
        </r>
      </text>
    </comment>
    <comment ref="F371" authorId="2" shapeId="0">
      <text>
        <r>
          <rPr>
            <sz val="11"/>
            <color theme="1"/>
            <rFont val="Calibri"/>
            <family val="2"/>
            <scheme val="minor"/>
          </rPr>
          <t>Introduzca el código SNIP</t>
        </r>
      </text>
    </comment>
    <comment ref="C372" authorId="2" shapeId="0">
      <text>
        <r>
          <rPr>
            <sz val="11"/>
            <color theme="1"/>
            <rFont val="Calibri"/>
            <family val="2"/>
            <scheme val="minor"/>
          </rPr>
          <t>Introduzca la fecha de inicio del proceso, en formato dd-mm-aaaa</t>
        </r>
      </text>
    </comment>
    <comment ref="F3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text/>
    </comment>
    <comment ref="C374" authorId="2" shapeId="0">
      <text>
        <r>
          <rPr>
            <sz val="11"/>
            <color theme="1"/>
            <rFont val="Calibri"/>
            <family val="2"/>
            <scheme val="minor"/>
          </rPr>
          <t>Introduzca la fecha prevista de adjudicación, en formato dd-mm-aaaa</t>
        </r>
      </text>
    </comment>
    <comment ref="F374" authorId="2" shapeId="0">
      <text/>
    </comment>
    <comment ref="F375" authorId="2" shapeId="0">
      <text/>
    </comment>
    <comment ref="A377" authorId="2" shapeId="0">
      <text>
        <r>
          <rPr>
            <sz val="11"/>
            <color theme="1"/>
            <rFont val="Calibri"/>
            <family val="2"/>
            <scheme val="minor"/>
          </rPr>
          <t>Introduzca un codigo UNSPSC</t>
        </r>
      </text>
    </comment>
    <comment ref="B377" authorId="2" shapeId="0">
      <text>
        <r>
          <rPr>
            <sz val="11"/>
            <color theme="1"/>
            <rFont val="Calibri"/>
            <family val="2"/>
            <scheme val="minor"/>
          </rPr>
          <t>Descripción calculada automáticamente a partir de código del artículo</t>
        </r>
      </text>
    </comment>
    <comment ref="C377" authorId="2" shapeId="0">
      <text>
        <r>
          <rPr>
            <sz val="11"/>
            <color theme="1"/>
            <rFont val="Calibri"/>
            <family val="2"/>
            <scheme val="minor"/>
          </rPr>
          <t>Seleccione un valor de la lista</t>
        </r>
      </text>
    </comment>
    <comment ref="D377" authorId="2" shapeId="0">
      <text>
        <r>
          <rPr>
            <sz val="11"/>
            <color theme="1"/>
            <rFont val="Calibri"/>
            <family val="2"/>
            <scheme val="minor"/>
          </rPr>
          <t>Introduzca un número con dos decimales como máximo. Debe ser igual o mayor a la "Cantidad Real Consumida"</t>
        </r>
      </text>
    </comment>
    <comment ref="E377" authorId="2" shapeId="0">
      <text>
        <r>
          <rPr>
            <sz val="11"/>
            <color theme="1"/>
            <rFont val="Calibri"/>
            <family val="2"/>
            <scheme val="minor"/>
          </rPr>
          <t>Introduzca un número con dos decimales como máximo</t>
        </r>
      </text>
    </comment>
    <comment ref="F377" authorId="2" shapeId="0">
      <text>
        <r>
          <rPr>
            <sz val="11"/>
            <color theme="1"/>
            <rFont val="Calibri"/>
            <family val="2"/>
            <scheme val="minor"/>
          </rPr>
          <t>Monto calculado automáticamente por el sistema</t>
        </r>
      </text>
    </comment>
    <comment ref="A385" authorId="2" shapeId="0">
      <text>
        <r>
          <rPr>
            <sz val="11"/>
            <color theme="1"/>
            <rFont val="Calibri"/>
            <family val="2"/>
            <scheme val="minor"/>
          </rPr>
          <t>Introducir un texto con el nombre o referencia de la contratación</t>
        </r>
      </text>
    </comment>
    <comment ref="B385" authorId="2" shapeId="0">
      <text>
        <r>
          <rPr>
            <sz val="11"/>
            <color theme="1"/>
            <rFont val="Calibri"/>
            <family val="2"/>
            <scheme val="minor"/>
          </rPr>
          <t>Introduzca un texto con la finalidad de la contratación</t>
        </r>
      </text>
    </comment>
    <comment ref="C385" authorId="2" shapeId="0">
      <text>
        <r>
          <rPr>
            <sz val="11"/>
            <color theme="1"/>
            <rFont val="Calibri"/>
            <family val="2"/>
            <scheme val="minor"/>
          </rPr>
          <t>Seleccionar un valor del listado</t>
        </r>
      </text>
    </comment>
    <comment ref="D385" authorId="2" shapeId="0">
      <text>
        <r>
          <rPr>
            <sz val="11"/>
            <color theme="1"/>
            <rFont val="Calibri"/>
            <family val="2"/>
            <scheme val="minor"/>
          </rPr>
          <t>Seleccione el tipo de procedimiento</t>
        </r>
      </text>
    </comment>
    <comment ref="E385" authorId="2" shapeId="0">
      <text>
        <r>
          <rPr>
            <sz val="11"/>
            <color theme="1"/>
            <rFont val="Calibri"/>
            <family val="2"/>
            <scheme val="minor"/>
          </rPr>
          <t>Seleccione un valor de la lista</t>
        </r>
      </text>
    </comment>
    <comment ref="F385" authorId="2" shapeId="0">
      <text>
        <r>
          <rPr>
            <sz val="11"/>
            <color theme="1"/>
            <rFont val="Calibri"/>
            <family val="2"/>
            <scheme val="minor"/>
          </rPr>
          <t>Introduzca el código SNIP</t>
        </r>
      </text>
    </comment>
    <comment ref="C386" authorId="2" shapeId="0">
      <text>
        <r>
          <rPr>
            <sz val="11"/>
            <color theme="1"/>
            <rFont val="Calibri"/>
            <family val="2"/>
            <scheme val="minor"/>
          </rPr>
          <t>Introduzca la fecha de inicio del proceso, en formato dd-mm-aaaa</t>
        </r>
      </text>
    </comment>
    <comment ref="F3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2" shapeId="0">
      <text/>
    </comment>
    <comment ref="C388" authorId="2" shapeId="0">
      <text>
        <r>
          <rPr>
            <sz val="11"/>
            <color theme="1"/>
            <rFont val="Calibri"/>
            <family val="2"/>
            <scheme val="minor"/>
          </rPr>
          <t>Introduzca la fecha prevista de adjudicación, en formato dd-mm-aaaa</t>
        </r>
      </text>
    </comment>
    <comment ref="F388" authorId="2" shapeId="0">
      <text/>
    </comment>
    <comment ref="F389" authorId="2" shapeId="0">
      <text/>
    </comment>
    <comment ref="A391" authorId="2" shapeId="0">
      <text>
        <r>
          <rPr>
            <sz val="11"/>
            <color theme="1"/>
            <rFont val="Calibri"/>
            <family val="2"/>
            <scheme val="minor"/>
          </rPr>
          <t>Introduzca un codigo UNSPSC</t>
        </r>
      </text>
    </comment>
    <comment ref="B391" authorId="2" shapeId="0">
      <text>
        <r>
          <rPr>
            <sz val="11"/>
            <color theme="1"/>
            <rFont val="Calibri"/>
            <family val="2"/>
            <scheme val="minor"/>
          </rPr>
          <t>Descripción calculada automáticamente a partir de código del artículo</t>
        </r>
      </text>
    </comment>
    <comment ref="C391" authorId="2" shapeId="0">
      <text>
        <r>
          <rPr>
            <sz val="11"/>
            <color theme="1"/>
            <rFont val="Calibri"/>
            <family val="2"/>
            <scheme val="minor"/>
          </rPr>
          <t>Seleccione un valor de la lista</t>
        </r>
      </text>
    </comment>
    <comment ref="D391" authorId="2" shapeId="0">
      <text>
        <r>
          <rPr>
            <sz val="11"/>
            <color theme="1"/>
            <rFont val="Calibri"/>
            <family val="2"/>
            <scheme val="minor"/>
          </rPr>
          <t>Introduzca un número con dos decimales como máximo. Debe ser igual o mayor a la "Cantidad Real Consumida"</t>
        </r>
      </text>
    </comment>
    <comment ref="E391" authorId="2" shapeId="0">
      <text>
        <r>
          <rPr>
            <sz val="11"/>
            <color theme="1"/>
            <rFont val="Calibri"/>
            <family val="2"/>
            <scheme val="minor"/>
          </rPr>
          <t>Introduzca un número con dos decimales como máximo</t>
        </r>
      </text>
    </comment>
    <comment ref="F391" authorId="2" shapeId="0">
      <text>
        <r>
          <rPr>
            <sz val="11"/>
            <color theme="1"/>
            <rFont val="Calibri"/>
            <family val="2"/>
            <scheme val="minor"/>
          </rPr>
          <t>Monto calculado automáticamente por el sistema</t>
        </r>
      </text>
    </comment>
    <comment ref="A396" authorId="2" shapeId="0">
      <text>
        <r>
          <rPr>
            <sz val="11"/>
            <color theme="1"/>
            <rFont val="Calibri"/>
            <family val="2"/>
            <scheme val="minor"/>
          </rPr>
          <t>Introducir un texto con el nombre o referencia de la contratación</t>
        </r>
      </text>
    </comment>
    <comment ref="B396" authorId="2" shapeId="0">
      <text>
        <r>
          <rPr>
            <sz val="11"/>
            <color theme="1"/>
            <rFont val="Calibri"/>
            <family val="2"/>
            <scheme val="minor"/>
          </rPr>
          <t>Introduzca un texto con la finalidad de la contratación</t>
        </r>
      </text>
    </comment>
    <comment ref="C396" authorId="2" shapeId="0">
      <text>
        <r>
          <rPr>
            <sz val="11"/>
            <color theme="1"/>
            <rFont val="Calibri"/>
            <family val="2"/>
            <scheme val="minor"/>
          </rPr>
          <t>Seleccionar un valor del listado</t>
        </r>
      </text>
    </comment>
    <comment ref="D396" authorId="2" shapeId="0">
      <text>
        <r>
          <rPr>
            <sz val="11"/>
            <color theme="1"/>
            <rFont val="Calibri"/>
            <family val="2"/>
            <scheme val="minor"/>
          </rPr>
          <t>Seleccione el tipo de procedimiento</t>
        </r>
      </text>
    </comment>
    <comment ref="E396" authorId="2" shapeId="0">
      <text>
        <r>
          <rPr>
            <sz val="11"/>
            <color theme="1"/>
            <rFont val="Calibri"/>
            <family val="2"/>
            <scheme val="minor"/>
          </rPr>
          <t>Seleccione un valor de la lista</t>
        </r>
      </text>
    </comment>
    <comment ref="F396" authorId="2" shapeId="0">
      <text>
        <r>
          <rPr>
            <sz val="11"/>
            <color theme="1"/>
            <rFont val="Calibri"/>
            <family val="2"/>
            <scheme val="minor"/>
          </rPr>
          <t>Introduzca el código SNIP</t>
        </r>
      </text>
    </comment>
    <comment ref="C397" authorId="2" shapeId="0">
      <text>
        <r>
          <rPr>
            <sz val="11"/>
            <color theme="1"/>
            <rFont val="Calibri"/>
            <family val="2"/>
            <scheme val="minor"/>
          </rPr>
          <t>Introduzca la fecha de inicio del proceso, en formato dd-mm-aaaa</t>
        </r>
      </text>
    </comment>
    <comment ref="F3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2" shapeId="0">
      <text/>
    </comment>
    <comment ref="C399" authorId="2" shapeId="0">
      <text>
        <r>
          <rPr>
            <sz val="11"/>
            <color theme="1"/>
            <rFont val="Calibri"/>
            <family val="2"/>
            <scheme val="minor"/>
          </rPr>
          <t>Introduzca la fecha prevista de adjudicación, en formato dd-mm-aaaa</t>
        </r>
      </text>
    </comment>
    <comment ref="F399" authorId="2" shapeId="0">
      <text/>
    </comment>
    <comment ref="F400" authorId="2" shapeId="0">
      <text/>
    </comment>
    <comment ref="A402" authorId="2" shapeId="0">
      <text>
        <r>
          <rPr>
            <sz val="11"/>
            <color theme="1"/>
            <rFont val="Calibri"/>
            <family val="2"/>
            <scheme val="minor"/>
          </rPr>
          <t>Introduzca un codigo UNSPSC</t>
        </r>
      </text>
    </comment>
    <comment ref="B402" authorId="2" shapeId="0">
      <text>
        <r>
          <rPr>
            <sz val="11"/>
            <color theme="1"/>
            <rFont val="Calibri"/>
            <family val="2"/>
            <scheme val="minor"/>
          </rPr>
          <t>Descripción calculada automáticamente a partir de código del artículo</t>
        </r>
      </text>
    </comment>
    <comment ref="C402" authorId="2" shapeId="0">
      <text>
        <r>
          <rPr>
            <sz val="11"/>
            <color theme="1"/>
            <rFont val="Calibri"/>
            <family val="2"/>
            <scheme val="minor"/>
          </rPr>
          <t>Seleccione un valor de la lista</t>
        </r>
      </text>
    </comment>
    <comment ref="D402" authorId="2" shapeId="0">
      <text>
        <r>
          <rPr>
            <sz val="11"/>
            <color theme="1"/>
            <rFont val="Calibri"/>
            <family val="2"/>
            <scheme val="minor"/>
          </rPr>
          <t>Introduzca un número con dos decimales como máximo. Debe ser igual o mayor a la "Cantidad Real Consumida"</t>
        </r>
      </text>
    </comment>
    <comment ref="E402" authorId="2" shapeId="0">
      <text>
        <r>
          <rPr>
            <sz val="11"/>
            <color theme="1"/>
            <rFont val="Calibri"/>
            <family val="2"/>
            <scheme val="minor"/>
          </rPr>
          <t>Introduzca un número con dos decimales como máximo</t>
        </r>
      </text>
    </comment>
    <comment ref="F402" authorId="2" shapeId="0">
      <text>
        <r>
          <rPr>
            <sz val="11"/>
            <color theme="1"/>
            <rFont val="Calibri"/>
            <family val="2"/>
            <scheme val="minor"/>
          </rPr>
          <t>Monto calculado automáticamente por el sistema</t>
        </r>
      </text>
    </comment>
    <comment ref="A407" authorId="2" shapeId="0">
      <text>
        <r>
          <rPr>
            <sz val="11"/>
            <color theme="1"/>
            <rFont val="Calibri"/>
            <family val="2"/>
            <scheme val="minor"/>
          </rPr>
          <t>Introducir un texto con el nombre o referencia de la contratación</t>
        </r>
      </text>
    </comment>
    <comment ref="B407" authorId="2" shapeId="0">
      <text>
        <r>
          <rPr>
            <sz val="11"/>
            <color theme="1"/>
            <rFont val="Calibri"/>
            <family val="2"/>
            <scheme val="minor"/>
          </rPr>
          <t>Introduzca un texto con la finalidad de la contratación</t>
        </r>
      </text>
    </comment>
    <comment ref="C407" authorId="2" shapeId="0">
      <text>
        <r>
          <rPr>
            <sz val="11"/>
            <color theme="1"/>
            <rFont val="Calibri"/>
            <family val="2"/>
            <scheme val="minor"/>
          </rPr>
          <t>Seleccionar un valor del listado</t>
        </r>
      </text>
    </comment>
    <comment ref="D407" authorId="2" shapeId="0">
      <text>
        <r>
          <rPr>
            <sz val="11"/>
            <color theme="1"/>
            <rFont val="Calibri"/>
            <family val="2"/>
            <scheme val="minor"/>
          </rPr>
          <t>Seleccione el tipo de procedimiento</t>
        </r>
      </text>
    </comment>
    <comment ref="E407" authorId="2" shapeId="0">
      <text>
        <r>
          <rPr>
            <sz val="11"/>
            <color theme="1"/>
            <rFont val="Calibri"/>
            <family val="2"/>
            <scheme val="minor"/>
          </rPr>
          <t>Seleccione un valor de la lista</t>
        </r>
      </text>
    </comment>
    <comment ref="F407" authorId="2" shapeId="0">
      <text>
        <r>
          <rPr>
            <sz val="11"/>
            <color theme="1"/>
            <rFont val="Calibri"/>
            <family val="2"/>
            <scheme val="minor"/>
          </rPr>
          <t>Introduzca el código SNIP</t>
        </r>
      </text>
    </comment>
    <comment ref="C408" authorId="2" shapeId="0">
      <text>
        <r>
          <rPr>
            <sz val="11"/>
            <color theme="1"/>
            <rFont val="Calibri"/>
            <family val="2"/>
            <scheme val="minor"/>
          </rPr>
          <t>Introduzca la fecha de inicio del proceso, en formato dd-mm-aaaa</t>
        </r>
      </text>
    </comment>
    <comment ref="F4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2" shapeId="0">
      <text/>
    </comment>
    <comment ref="C410" authorId="2" shapeId="0">
      <text>
        <r>
          <rPr>
            <sz val="11"/>
            <color theme="1"/>
            <rFont val="Calibri"/>
            <family val="2"/>
            <scheme val="minor"/>
          </rPr>
          <t>Introduzca la fecha prevista de adjudicación, en formato dd-mm-aaaa</t>
        </r>
      </text>
    </comment>
    <comment ref="F410" authorId="2" shapeId="0">
      <text/>
    </comment>
    <comment ref="F411" authorId="2" shapeId="0">
      <text/>
    </comment>
    <comment ref="A413" authorId="2" shapeId="0">
      <text>
        <r>
          <rPr>
            <sz val="11"/>
            <color theme="1"/>
            <rFont val="Calibri"/>
            <family val="2"/>
            <scheme val="minor"/>
          </rPr>
          <t>Introduzca un codigo UNSPSC</t>
        </r>
      </text>
    </comment>
    <comment ref="B413" authorId="2" shapeId="0">
      <text>
        <r>
          <rPr>
            <sz val="11"/>
            <color theme="1"/>
            <rFont val="Calibri"/>
            <family val="2"/>
            <scheme val="minor"/>
          </rPr>
          <t>Descripción calculada automáticamente a partir de código del artículo</t>
        </r>
      </text>
    </comment>
    <comment ref="C413" authorId="2" shapeId="0">
      <text>
        <r>
          <rPr>
            <sz val="11"/>
            <color theme="1"/>
            <rFont val="Calibri"/>
            <family val="2"/>
            <scheme val="minor"/>
          </rPr>
          <t>Seleccione un valor de la lista</t>
        </r>
      </text>
    </comment>
    <comment ref="D413" authorId="2" shapeId="0">
      <text>
        <r>
          <rPr>
            <sz val="11"/>
            <color theme="1"/>
            <rFont val="Calibri"/>
            <family val="2"/>
            <scheme val="minor"/>
          </rPr>
          <t>Introduzca un número con dos decimales como máximo. Debe ser igual o mayor a la "Cantidad Real Consumida"</t>
        </r>
      </text>
    </comment>
    <comment ref="E413" authorId="2" shapeId="0">
      <text>
        <r>
          <rPr>
            <sz val="11"/>
            <color theme="1"/>
            <rFont val="Calibri"/>
            <family val="2"/>
            <scheme val="minor"/>
          </rPr>
          <t>Introduzca un número con dos decimales como máximo</t>
        </r>
      </text>
    </comment>
    <comment ref="F413" authorId="2" shapeId="0">
      <text>
        <r>
          <rPr>
            <sz val="11"/>
            <color theme="1"/>
            <rFont val="Calibri"/>
            <family val="2"/>
            <scheme val="minor"/>
          </rPr>
          <t>Monto calculado automáticamente por el sistema</t>
        </r>
      </text>
    </comment>
    <comment ref="A420" authorId="2" shapeId="0">
      <text>
        <r>
          <rPr>
            <sz val="11"/>
            <color theme="1"/>
            <rFont val="Calibri"/>
            <family val="2"/>
            <scheme val="minor"/>
          </rPr>
          <t>Introducir un texto con el nombre o referencia de la contratación</t>
        </r>
      </text>
    </comment>
    <comment ref="B420" authorId="2" shapeId="0">
      <text>
        <r>
          <rPr>
            <sz val="11"/>
            <color theme="1"/>
            <rFont val="Calibri"/>
            <family val="2"/>
            <scheme val="minor"/>
          </rPr>
          <t>Introduzca un texto con la finalidad de la contratación</t>
        </r>
      </text>
    </comment>
    <comment ref="C420" authorId="2" shapeId="0">
      <text>
        <r>
          <rPr>
            <sz val="11"/>
            <color theme="1"/>
            <rFont val="Calibri"/>
            <family val="2"/>
            <scheme val="minor"/>
          </rPr>
          <t>Seleccionar un valor del listado</t>
        </r>
      </text>
    </comment>
    <comment ref="D420" authorId="2" shapeId="0">
      <text>
        <r>
          <rPr>
            <sz val="11"/>
            <color theme="1"/>
            <rFont val="Calibri"/>
            <family val="2"/>
            <scheme val="minor"/>
          </rPr>
          <t>Seleccione el tipo de procedimiento</t>
        </r>
      </text>
    </comment>
    <comment ref="E420" authorId="2" shapeId="0">
      <text>
        <r>
          <rPr>
            <sz val="11"/>
            <color theme="1"/>
            <rFont val="Calibri"/>
            <family val="2"/>
            <scheme val="minor"/>
          </rPr>
          <t>Seleccione un valor de la lista</t>
        </r>
      </text>
    </comment>
    <comment ref="F420" authorId="2" shapeId="0">
      <text>
        <r>
          <rPr>
            <sz val="11"/>
            <color theme="1"/>
            <rFont val="Calibri"/>
            <family val="2"/>
            <scheme val="minor"/>
          </rPr>
          <t>Introduzca el código SNIP</t>
        </r>
      </text>
    </comment>
    <comment ref="C421" authorId="2" shapeId="0">
      <text>
        <r>
          <rPr>
            <sz val="11"/>
            <color theme="1"/>
            <rFont val="Calibri"/>
            <family val="2"/>
            <scheme val="minor"/>
          </rPr>
          <t>Introduzca la fecha de inicio del proceso, en formato dd-mm-aaaa</t>
        </r>
      </text>
    </comment>
    <comment ref="F4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2" shapeId="0">
      <text/>
    </comment>
    <comment ref="C423" authorId="2" shapeId="0">
      <text>
        <r>
          <rPr>
            <sz val="11"/>
            <color theme="1"/>
            <rFont val="Calibri"/>
            <family val="2"/>
            <scheme val="minor"/>
          </rPr>
          <t>Introduzca la fecha prevista de adjudicación, en formato dd-mm-aaaa</t>
        </r>
      </text>
    </comment>
    <comment ref="F423" authorId="2" shapeId="0">
      <text/>
    </comment>
    <comment ref="F424" authorId="2" shapeId="0">
      <text/>
    </comment>
    <comment ref="A426" authorId="2" shapeId="0">
      <text>
        <r>
          <rPr>
            <sz val="11"/>
            <color theme="1"/>
            <rFont val="Calibri"/>
            <family val="2"/>
            <scheme val="minor"/>
          </rPr>
          <t>Introduzca un codigo UNSPSC</t>
        </r>
      </text>
    </comment>
    <comment ref="B426" authorId="2" shapeId="0">
      <text>
        <r>
          <rPr>
            <sz val="11"/>
            <color theme="1"/>
            <rFont val="Calibri"/>
            <family val="2"/>
            <scheme val="minor"/>
          </rPr>
          <t>Descripción calculada automáticamente a partir de código del artículo</t>
        </r>
      </text>
    </comment>
    <comment ref="C426" authorId="2" shapeId="0">
      <text>
        <r>
          <rPr>
            <sz val="11"/>
            <color theme="1"/>
            <rFont val="Calibri"/>
            <family val="2"/>
            <scheme val="minor"/>
          </rPr>
          <t>Seleccione un valor de la lista</t>
        </r>
      </text>
    </comment>
    <comment ref="D426" authorId="2" shapeId="0">
      <text>
        <r>
          <rPr>
            <sz val="11"/>
            <color theme="1"/>
            <rFont val="Calibri"/>
            <family val="2"/>
            <scheme val="minor"/>
          </rPr>
          <t>Introduzca un número con dos decimales como máximo. Debe ser igual o mayor a la "Cantidad Real Consumida"</t>
        </r>
      </text>
    </comment>
    <comment ref="E426" authorId="2" shapeId="0">
      <text>
        <r>
          <rPr>
            <sz val="11"/>
            <color theme="1"/>
            <rFont val="Calibri"/>
            <family val="2"/>
            <scheme val="minor"/>
          </rPr>
          <t>Introduzca un número con dos decimales como máximo</t>
        </r>
      </text>
    </comment>
    <comment ref="F426" authorId="2" shapeId="0">
      <text>
        <r>
          <rPr>
            <sz val="11"/>
            <color theme="1"/>
            <rFont val="Calibri"/>
            <family val="2"/>
            <scheme val="minor"/>
          </rPr>
          <t>Monto calculado automáticamente por el sistema</t>
        </r>
      </text>
    </comment>
    <comment ref="A431" authorId="2" shapeId="0">
      <text>
        <r>
          <rPr>
            <sz val="11"/>
            <color theme="1"/>
            <rFont val="Calibri"/>
            <family val="2"/>
            <scheme val="minor"/>
          </rPr>
          <t>Introducir un texto con el nombre o referencia de la contratación</t>
        </r>
      </text>
    </comment>
    <comment ref="B431" authorId="2" shapeId="0">
      <text>
        <r>
          <rPr>
            <sz val="11"/>
            <color theme="1"/>
            <rFont val="Calibri"/>
            <family val="2"/>
            <scheme val="minor"/>
          </rPr>
          <t>Introduzca un texto con la finalidad de la contratación</t>
        </r>
      </text>
    </comment>
    <comment ref="C431" authorId="2" shapeId="0">
      <text>
        <r>
          <rPr>
            <sz val="11"/>
            <color theme="1"/>
            <rFont val="Calibri"/>
            <family val="2"/>
            <scheme val="minor"/>
          </rPr>
          <t>Seleccionar un valor del listado</t>
        </r>
      </text>
    </comment>
    <comment ref="D431" authorId="2" shapeId="0">
      <text>
        <r>
          <rPr>
            <sz val="11"/>
            <color theme="1"/>
            <rFont val="Calibri"/>
            <family val="2"/>
            <scheme val="minor"/>
          </rPr>
          <t>Seleccione el tipo de procedimiento</t>
        </r>
      </text>
    </comment>
    <comment ref="E431" authorId="2" shapeId="0">
      <text>
        <r>
          <rPr>
            <sz val="11"/>
            <color theme="1"/>
            <rFont val="Calibri"/>
            <family val="2"/>
            <scheme val="minor"/>
          </rPr>
          <t>Seleccione un valor de la lista</t>
        </r>
      </text>
    </comment>
    <comment ref="F431" authorId="2" shapeId="0">
      <text>
        <r>
          <rPr>
            <sz val="11"/>
            <color theme="1"/>
            <rFont val="Calibri"/>
            <family val="2"/>
            <scheme val="minor"/>
          </rPr>
          <t>Introduzca el código SNIP</t>
        </r>
      </text>
    </comment>
    <comment ref="C432" authorId="2" shapeId="0">
      <text>
        <r>
          <rPr>
            <sz val="11"/>
            <color theme="1"/>
            <rFont val="Calibri"/>
            <family val="2"/>
            <scheme val="minor"/>
          </rPr>
          <t>Introduzca la fecha de inicio del proceso, en formato dd-mm-aaaa</t>
        </r>
      </text>
    </comment>
    <comment ref="F4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2" shapeId="0">
      <text/>
    </comment>
    <comment ref="C434" authorId="2" shapeId="0">
      <text>
        <r>
          <rPr>
            <sz val="11"/>
            <color theme="1"/>
            <rFont val="Calibri"/>
            <family val="2"/>
            <scheme val="minor"/>
          </rPr>
          <t>Introduzca la fecha prevista de adjudicación, en formato dd-mm-aaaa</t>
        </r>
      </text>
    </comment>
    <comment ref="F434" authorId="2" shapeId="0">
      <text/>
    </comment>
    <comment ref="F435" authorId="2" shapeId="0">
      <text/>
    </comment>
    <comment ref="A437" authorId="2" shapeId="0">
      <text>
        <r>
          <rPr>
            <sz val="11"/>
            <color theme="1"/>
            <rFont val="Calibri"/>
            <family val="2"/>
            <scheme val="minor"/>
          </rPr>
          <t>Introduzca un codigo UNSPSC</t>
        </r>
      </text>
    </comment>
    <comment ref="B437" authorId="2" shapeId="0">
      <text>
        <r>
          <rPr>
            <sz val="11"/>
            <color theme="1"/>
            <rFont val="Calibri"/>
            <family val="2"/>
            <scheme val="minor"/>
          </rPr>
          <t>Descripción calculada automáticamente a partir de código del artículo</t>
        </r>
      </text>
    </comment>
    <comment ref="C437" authorId="2" shapeId="0">
      <text>
        <r>
          <rPr>
            <sz val="11"/>
            <color theme="1"/>
            <rFont val="Calibri"/>
            <family val="2"/>
            <scheme val="minor"/>
          </rPr>
          <t>Seleccione un valor de la lista</t>
        </r>
      </text>
    </comment>
    <comment ref="D437" authorId="2" shapeId="0">
      <text>
        <r>
          <rPr>
            <sz val="11"/>
            <color theme="1"/>
            <rFont val="Calibri"/>
            <family val="2"/>
            <scheme val="minor"/>
          </rPr>
          <t>Introduzca un número con dos decimales como máximo. Debe ser igual o mayor a la "Cantidad Real Consumida"</t>
        </r>
      </text>
    </comment>
    <comment ref="E437" authorId="2" shapeId="0">
      <text>
        <r>
          <rPr>
            <sz val="11"/>
            <color theme="1"/>
            <rFont val="Calibri"/>
            <family val="2"/>
            <scheme val="minor"/>
          </rPr>
          <t>Introduzca un número con dos decimales como máximo</t>
        </r>
      </text>
    </comment>
    <comment ref="F437" authorId="2" shapeId="0">
      <text>
        <r>
          <rPr>
            <sz val="11"/>
            <color theme="1"/>
            <rFont val="Calibri"/>
            <family val="2"/>
            <scheme val="minor"/>
          </rPr>
          <t>Monto calculado automáticamente por el sistema</t>
        </r>
      </text>
    </comment>
    <comment ref="A444" authorId="2" shapeId="0">
      <text>
        <r>
          <rPr>
            <sz val="11"/>
            <color theme="1"/>
            <rFont val="Calibri"/>
            <family val="2"/>
            <scheme val="minor"/>
          </rPr>
          <t>Introducir un texto con el nombre o referencia de la contratación</t>
        </r>
      </text>
    </comment>
    <comment ref="B444" authorId="2" shapeId="0">
      <text>
        <r>
          <rPr>
            <sz val="11"/>
            <color theme="1"/>
            <rFont val="Calibri"/>
            <family val="2"/>
            <scheme val="minor"/>
          </rPr>
          <t>Introducir un texto con el nombre o referencia de la contratación</t>
        </r>
      </text>
    </comment>
    <comment ref="C444" authorId="2" shapeId="0">
      <text>
        <r>
          <rPr>
            <sz val="11"/>
            <color theme="1"/>
            <rFont val="Calibri"/>
            <family val="2"/>
            <scheme val="minor"/>
          </rPr>
          <t>Seleccionar un valor del listado</t>
        </r>
      </text>
    </comment>
    <comment ref="D444" authorId="2" shapeId="0">
      <text>
        <r>
          <rPr>
            <sz val="11"/>
            <color theme="1"/>
            <rFont val="Calibri"/>
            <family val="2"/>
            <scheme val="minor"/>
          </rPr>
          <t>Seleccione el tipo de procedimiento</t>
        </r>
      </text>
    </comment>
    <comment ref="E444" authorId="2" shapeId="0">
      <text>
        <r>
          <rPr>
            <sz val="11"/>
            <color theme="1"/>
            <rFont val="Calibri"/>
            <family val="2"/>
            <scheme val="minor"/>
          </rPr>
          <t>Seleccione un valor de la lista</t>
        </r>
      </text>
    </comment>
    <comment ref="F444" authorId="2" shapeId="0">
      <text>
        <r>
          <rPr>
            <sz val="11"/>
            <color theme="1"/>
            <rFont val="Calibri"/>
            <family val="2"/>
            <scheme val="minor"/>
          </rPr>
          <t>Introduzca el código SNIP</t>
        </r>
      </text>
    </comment>
    <comment ref="C445" authorId="2" shapeId="0">
      <text>
        <r>
          <rPr>
            <sz val="11"/>
            <color theme="1"/>
            <rFont val="Calibri"/>
            <family val="2"/>
            <scheme val="minor"/>
          </rPr>
          <t>Introduzca la fecha de inicio del proceso, en formato dd-mm-aaaa</t>
        </r>
      </text>
    </comment>
    <comment ref="F4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2" shapeId="0">
      <text/>
    </comment>
    <comment ref="C447" authorId="2" shapeId="0">
      <text>
        <r>
          <rPr>
            <sz val="11"/>
            <color theme="1"/>
            <rFont val="Calibri"/>
            <family val="2"/>
            <scheme val="minor"/>
          </rPr>
          <t>Introduzca la fecha prevista de adjudicación, en formato dd-mm-aaaa</t>
        </r>
      </text>
    </comment>
    <comment ref="F447" authorId="2" shapeId="0">
      <text/>
    </comment>
    <comment ref="F448" authorId="2" shapeId="0">
      <text/>
    </comment>
    <comment ref="A450" authorId="2" shapeId="0">
      <text>
        <r>
          <rPr>
            <sz val="11"/>
            <color theme="1"/>
            <rFont val="Calibri"/>
            <family val="2"/>
            <scheme val="minor"/>
          </rPr>
          <t>Introduzca un codigo UNSPSC</t>
        </r>
      </text>
    </comment>
    <comment ref="B450" authorId="2" shapeId="0">
      <text>
        <r>
          <rPr>
            <sz val="11"/>
            <color theme="1"/>
            <rFont val="Calibri"/>
            <family val="2"/>
            <scheme val="minor"/>
          </rPr>
          <t>Descripción calculada automáticamente a partir de código del artículo</t>
        </r>
      </text>
    </comment>
    <comment ref="C450" authorId="2" shapeId="0">
      <text>
        <r>
          <rPr>
            <sz val="11"/>
            <color theme="1"/>
            <rFont val="Calibri"/>
            <family val="2"/>
            <scheme val="minor"/>
          </rPr>
          <t>Seleccione un valor de la lista</t>
        </r>
      </text>
    </comment>
    <comment ref="D450" authorId="2" shapeId="0">
      <text>
        <r>
          <rPr>
            <sz val="11"/>
            <color theme="1"/>
            <rFont val="Calibri"/>
            <family val="2"/>
            <scheme val="minor"/>
          </rPr>
          <t>Introduzca un número con dos decimales como máximo. Debe ser igual o mayor a la "Cantidad Real Consumida"</t>
        </r>
      </text>
    </comment>
    <comment ref="E450" authorId="2" shapeId="0">
      <text>
        <r>
          <rPr>
            <sz val="11"/>
            <color theme="1"/>
            <rFont val="Calibri"/>
            <family val="2"/>
            <scheme val="minor"/>
          </rPr>
          <t>Introduzca un número con dos decimales como máximo</t>
        </r>
      </text>
    </comment>
    <comment ref="F450" authorId="2" shapeId="0">
      <text>
        <r>
          <rPr>
            <sz val="11"/>
            <color theme="1"/>
            <rFont val="Calibri"/>
            <family val="2"/>
            <scheme val="minor"/>
          </rPr>
          <t>Monto calculado automáticamente por el sistema</t>
        </r>
      </text>
    </comment>
    <comment ref="A455" authorId="1" shapeId="0">
      <text>
        <r>
          <rPr>
            <sz val="11"/>
            <color theme="1"/>
            <rFont val="Calibri"/>
            <family val="2"/>
            <scheme val="minor"/>
          </rPr>
          <t>Introducir un texto con el nombre o referencia de la contratación</t>
        </r>
      </text>
    </comment>
    <comment ref="B455" authorId="1" shapeId="0">
      <text>
        <r>
          <rPr>
            <sz val="11"/>
            <color theme="1"/>
            <rFont val="Calibri"/>
            <family val="2"/>
            <scheme val="minor"/>
          </rPr>
          <t>Introduzca un texto con la finalidad de la contratación</t>
        </r>
      </text>
    </comment>
    <comment ref="C455" authorId="1" shapeId="0">
      <text>
        <r>
          <rPr>
            <sz val="11"/>
            <color theme="1"/>
            <rFont val="Calibri"/>
            <family val="2"/>
            <scheme val="minor"/>
          </rPr>
          <t>Seleccionar un valor del listado</t>
        </r>
      </text>
    </comment>
    <comment ref="D455" authorId="1" shapeId="0">
      <text>
        <r>
          <rPr>
            <sz val="11"/>
            <color theme="1"/>
            <rFont val="Calibri"/>
            <family val="2"/>
            <scheme val="minor"/>
          </rPr>
          <t>Seleccione el tipo de procedimiento</t>
        </r>
      </text>
    </comment>
    <comment ref="E455" authorId="1" shapeId="0">
      <text>
        <r>
          <rPr>
            <sz val="11"/>
            <color theme="1"/>
            <rFont val="Calibri"/>
            <family val="2"/>
            <scheme val="minor"/>
          </rPr>
          <t>Seleccione un valor de la lista</t>
        </r>
      </text>
    </comment>
    <comment ref="F455" authorId="2" shapeId="0">
      <text>
        <r>
          <rPr>
            <sz val="11"/>
            <color theme="1"/>
            <rFont val="Calibri"/>
            <family val="2"/>
            <scheme val="minor"/>
          </rPr>
          <t>Introduzca el código SNIP</t>
        </r>
      </text>
    </comment>
    <comment ref="C456" authorId="2" shapeId="0">
      <text>
        <r>
          <rPr>
            <sz val="11"/>
            <color theme="1"/>
            <rFont val="Calibri"/>
            <family val="2"/>
            <scheme val="minor"/>
          </rPr>
          <t>Introduzca la fecha de inicio del proceso, en formato dd-mm-aaaa</t>
        </r>
      </text>
    </comment>
    <comment ref="F4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2" shapeId="0">
      <text/>
    </comment>
    <comment ref="C458" authorId="2" shapeId="0">
      <text>
        <r>
          <rPr>
            <sz val="11"/>
            <color theme="1"/>
            <rFont val="Calibri"/>
            <family val="2"/>
            <scheme val="minor"/>
          </rPr>
          <t>Introduzca la fecha prevista de adjudicación, en formato dd-mm-aaaa</t>
        </r>
      </text>
    </comment>
    <comment ref="F458" authorId="2" shapeId="0">
      <text/>
    </comment>
    <comment ref="F459" authorId="2" shapeId="0">
      <text/>
    </comment>
    <comment ref="A461" authorId="2" shapeId="0">
      <text>
        <r>
          <rPr>
            <sz val="11"/>
            <color theme="1"/>
            <rFont val="Calibri"/>
            <family val="2"/>
            <scheme val="minor"/>
          </rPr>
          <t>Introduzca un codigo UNSPSC</t>
        </r>
      </text>
    </comment>
    <comment ref="B461" authorId="2" shapeId="0">
      <text>
        <r>
          <rPr>
            <sz val="11"/>
            <color theme="1"/>
            <rFont val="Calibri"/>
            <family val="2"/>
            <scheme val="minor"/>
          </rPr>
          <t>Descripción calculada automáticamente a partir de código del artículo</t>
        </r>
      </text>
    </comment>
    <comment ref="C461" authorId="2" shapeId="0">
      <text>
        <r>
          <rPr>
            <sz val="11"/>
            <color theme="1"/>
            <rFont val="Calibri"/>
            <family val="2"/>
            <scheme val="minor"/>
          </rPr>
          <t>Seleccione un valor de la lista</t>
        </r>
      </text>
    </comment>
    <comment ref="D461" authorId="2" shapeId="0">
      <text>
        <r>
          <rPr>
            <sz val="11"/>
            <color theme="1"/>
            <rFont val="Calibri"/>
            <family val="2"/>
            <scheme val="minor"/>
          </rPr>
          <t>Introduzca un número con dos decimales como máximo. Debe ser igual o mayor a la "Cantidad Real Consumida"</t>
        </r>
      </text>
    </comment>
    <comment ref="E461" authorId="2" shapeId="0">
      <text>
        <r>
          <rPr>
            <sz val="11"/>
            <color theme="1"/>
            <rFont val="Calibri"/>
            <family val="2"/>
            <scheme val="minor"/>
          </rPr>
          <t>Introduzca un número con dos decimales como máximo</t>
        </r>
      </text>
    </comment>
    <comment ref="F461" authorId="2" shapeId="0">
      <text>
        <r>
          <rPr>
            <sz val="11"/>
            <color theme="1"/>
            <rFont val="Calibri"/>
            <family val="2"/>
            <scheme val="minor"/>
          </rPr>
          <t>Monto calculado automáticamente por el sistema</t>
        </r>
      </text>
    </comment>
    <comment ref="A466" authorId="1" shapeId="0">
      <text>
        <r>
          <rPr>
            <sz val="11"/>
            <color theme="1"/>
            <rFont val="Calibri"/>
            <family val="2"/>
            <scheme val="minor"/>
          </rPr>
          <t>Introducir un texto con el nombre o referencia de la contratación</t>
        </r>
      </text>
    </comment>
    <comment ref="B466" authorId="1" shapeId="0">
      <text>
        <r>
          <rPr>
            <sz val="11"/>
            <color theme="1"/>
            <rFont val="Calibri"/>
            <family val="2"/>
            <scheme val="minor"/>
          </rPr>
          <t>Introduzca un texto con la finalidad de la contratación</t>
        </r>
      </text>
    </comment>
    <comment ref="C466" authorId="1" shapeId="0">
      <text>
        <r>
          <rPr>
            <sz val="11"/>
            <color theme="1"/>
            <rFont val="Calibri"/>
            <family val="2"/>
            <scheme val="minor"/>
          </rPr>
          <t>Seleccionar un valor del listado</t>
        </r>
      </text>
    </comment>
    <comment ref="D466" authorId="1" shapeId="0">
      <text>
        <r>
          <rPr>
            <sz val="11"/>
            <color theme="1"/>
            <rFont val="Calibri"/>
            <family val="2"/>
            <scheme val="minor"/>
          </rPr>
          <t>Seleccione el tipo de procedimiento</t>
        </r>
      </text>
    </comment>
    <comment ref="E466" authorId="1" shapeId="0">
      <text>
        <r>
          <rPr>
            <sz val="11"/>
            <color theme="1"/>
            <rFont val="Calibri"/>
            <family val="2"/>
            <scheme val="minor"/>
          </rPr>
          <t>Seleccione un valor de la lista</t>
        </r>
      </text>
    </comment>
    <comment ref="F466" authorId="2" shapeId="0">
      <text>
        <r>
          <rPr>
            <sz val="11"/>
            <color theme="1"/>
            <rFont val="Calibri"/>
            <family val="2"/>
            <scheme val="minor"/>
          </rPr>
          <t>Introduzca el código SNIP</t>
        </r>
      </text>
    </comment>
    <comment ref="C467" authorId="2" shapeId="0">
      <text>
        <r>
          <rPr>
            <sz val="11"/>
            <color theme="1"/>
            <rFont val="Calibri"/>
            <family val="2"/>
            <scheme val="minor"/>
          </rPr>
          <t>Introduzca la fecha de inicio del proceso, en formato dd-mm-aaaa</t>
        </r>
      </text>
    </comment>
    <comment ref="F4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2" shapeId="0">
      <text/>
    </comment>
    <comment ref="C469" authorId="2" shapeId="0">
      <text>
        <r>
          <rPr>
            <sz val="11"/>
            <color theme="1"/>
            <rFont val="Calibri"/>
            <family val="2"/>
            <scheme val="minor"/>
          </rPr>
          <t>Introduzca la fecha prevista de adjudicación, en formato dd-mm-aaaa</t>
        </r>
      </text>
    </comment>
    <comment ref="F469" authorId="2" shapeId="0">
      <text/>
    </comment>
    <comment ref="F470" authorId="2" shapeId="0">
      <text/>
    </comment>
    <comment ref="A472" authorId="2" shapeId="0">
      <text>
        <r>
          <rPr>
            <sz val="11"/>
            <color theme="1"/>
            <rFont val="Calibri"/>
            <family val="2"/>
            <scheme val="minor"/>
          </rPr>
          <t>Introduzca un codigo UNSPSC</t>
        </r>
      </text>
    </comment>
    <comment ref="B472" authorId="2" shapeId="0">
      <text>
        <r>
          <rPr>
            <sz val="11"/>
            <color theme="1"/>
            <rFont val="Calibri"/>
            <family val="2"/>
            <scheme val="minor"/>
          </rPr>
          <t>Descripción calculada automáticamente a partir de código del artículo</t>
        </r>
      </text>
    </comment>
    <comment ref="C472" authorId="2" shapeId="0">
      <text>
        <r>
          <rPr>
            <sz val="11"/>
            <color theme="1"/>
            <rFont val="Calibri"/>
            <family val="2"/>
            <scheme val="minor"/>
          </rPr>
          <t>Seleccione un valor de la lista</t>
        </r>
      </text>
    </comment>
    <comment ref="D472" authorId="2" shapeId="0">
      <text>
        <r>
          <rPr>
            <sz val="11"/>
            <color theme="1"/>
            <rFont val="Calibri"/>
            <family val="2"/>
            <scheme val="minor"/>
          </rPr>
          <t>Introduzca un número con dos decimales como máximo. Debe ser igual o mayor a la "Cantidad Real Consumida"</t>
        </r>
      </text>
    </comment>
    <comment ref="E472" authorId="2" shapeId="0">
      <text>
        <r>
          <rPr>
            <sz val="11"/>
            <color theme="1"/>
            <rFont val="Calibri"/>
            <family val="2"/>
            <scheme val="minor"/>
          </rPr>
          <t>Introduzca un número con dos decimales como máximo</t>
        </r>
      </text>
    </comment>
    <comment ref="F472" authorId="2" shapeId="0">
      <text>
        <r>
          <rPr>
            <sz val="11"/>
            <color theme="1"/>
            <rFont val="Calibri"/>
            <family val="2"/>
            <scheme val="minor"/>
          </rPr>
          <t>Monto calculado automáticamente por el sistema</t>
        </r>
      </text>
    </comment>
    <comment ref="A477" authorId="1" shapeId="0">
      <text>
        <r>
          <rPr>
            <sz val="11"/>
            <color theme="1"/>
            <rFont val="Calibri"/>
            <family val="2"/>
            <scheme val="minor"/>
          </rPr>
          <t>Introducir un texto con el nombre o referencia de la contratación</t>
        </r>
      </text>
    </comment>
    <comment ref="B477" authorId="1" shapeId="0">
      <text>
        <r>
          <rPr>
            <sz val="11"/>
            <color theme="1"/>
            <rFont val="Calibri"/>
            <family val="2"/>
            <scheme val="minor"/>
          </rPr>
          <t>Introduzca un texto con la finalidad de la contratación</t>
        </r>
      </text>
    </comment>
    <comment ref="C477" authorId="1" shapeId="0">
      <text>
        <r>
          <rPr>
            <sz val="11"/>
            <color theme="1"/>
            <rFont val="Calibri"/>
            <family val="2"/>
            <scheme val="minor"/>
          </rPr>
          <t>Seleccionar un valor del listado</t>
        </r>
      </text>
    </comment>
    <comment ref="D477" authorId="1" shapeId="0">
      <text>
        <r>
          <rPr>
            <sz val="11"/>
            <color theme="1"/>
            <rFont val="Calibri"/>
            <family val="2"/>
            <scheme val="minor"/>
          </rPr>
          <t>Seleccione el tipo de procedimiento</t>
        </r>
      </text>
    </comment>
    <comment ref="E477" authorId="1" shapeId="0">
      <text>
        <r>
          <rPr>
            <sz val="11"/>
            <color theme="1"/>
            <rFont val="Calibri"/>
            <family val="2"/>
            <scheme val="minor"/>
          </rPr>
          <t>Seleccione un valor de la lista</t>
        </r>
      </text>
    </comment>
    <comment ref="F477" authorId="2" shapeId="0">
      <text>
        <r>
          <rPr>
            <sz val="11"/>
            <color theme="1"/>
            <rFont val="Calibri"/>
            <family val="2"/>
            <scheme val="minor"/>
          </rPr>
          <t>Introduzca el código SNIP</t>
        </r>
      </text>
    </comment>
    <comment ref="C478" authorId="2" shapeId="0">
      <text>
        <r>
          <rPr>
            <sz val="11"/>
            <color theme="1"/>
            <rFont val="Calibri"/>
            <family val="2"/>
            <scheme val="minor"/>
          </rPr>
          <t>Introduzca la fecha de inicio del proceso, en formato dd-mm-aaaa</t>
        </r>
      </text>
    </comment>
    <comment ref="F4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text/>
    </comment>
    <comment ref="C480" authorId="2" shapeId="0">
      <text>
        <r>
          <rPr>
            <sz val="11"/>
            <color theme="1"/>
            <rFont val="Calibri"/>
            <family val="2"/>
            <scheme val="minor"/>
          </rPr>
          <t>Introduzca la fecha prevista de adjudicación, en formato dd-mm-aaaa</t>
        </r>
      </text>
    </comment>
    <comment ref="F480" authorId="2" shapeId="0">
      <text/>
    </comment>
    <comment ref="F481" authorId="2" shapeId="0">
      <text/>
    </comment>
    <comment ref="A483" authorId="2" shapeId="0">
      <text>
        <r>
          <rPr>
            <sz val="11"/>
            <color theme="1"/>
            <rFont val="Calibri"/>
            <family val="2"/>
            <scheme val="minor"/>
          </rPr>
          <t>Introduzca un codigo UNSPSC</t>
        </r>
      </text>
    </comment>
    <comment ref="B483" authorId="2" shapeId="0">
      <text>
        <r>
          <rPr>
            <sz val="11"/>
            <color theme="1"/>
            <rFont val="Calibri"/>
            <family val="2"/>
            <scheme val="minor"/>
          </rPr>
          <t>Descripción calculada automáticamente a partir de código del artículo</t>
        </r>
      </text>
    </comment>
    <comment ref="C483" authorId="2" shapeId="0">
      <text>
        <r>
          <rPr>
            <sz val="11"/>
            <color theme="1"/>
            <rFont val="Calibri"/>
            <family val="2"/>
            <scheme val="minor"/>
          </rPr>
          <t>Seleccione un valor de la lista</t>
        </r>
      </text>
    </comment>
    <comment ref="D483" authorId="2" shapeId="0">
      <text>
        <r>
          <rPr>
            <sz val="11"/>
            <color theme="1"/>
            <rFont val="Calibri"/>
            <family val="2"/>
            <scheme val="minor"/>
          </rPr>
          <t>Introduzca un número con dos decimales como máximo. Debe ser igual o mayor a la "Cantidad Real Consumida"</t>
        </r>
      </text>
    </comment>
    <comment ref="E483" authorId="2" shapeId="0">
      <text>
        <r>
          <rPr>
            <sz val="11"/>
            <color theme="1"/>
            <rFont val="Calibri"/>
            <family val="2"/>
            <scheme val="minor"/>
          </rPr>
          <t>Introduzca un número con dos decimales como máximo</t>
        </r>
      </text>
    </comment>
    <comment ref="F483" authorId="2" shapeId="0">
      <text>
        <r>
          <rPr>
            <sz val="11"/>
            <color theme="1"/>
            <rFont val="Calibri"/>
            <family val="2"/>
            <scheme val="minor"/>
          </rPr>
          <t>Monto calculado automáticamente por el sistema</t>
        </r>
      </text>
    </comment>
    <comment ref="A489" authorId="1" shapeId="0">
      <text>
        <r>
          <rPr>
            <sz val="11"/>
            <color theme="1"/>
            <rFont val="Calibri"/>
            <family val="2"/>
            <scheme val="minor"/>
          </rPr>
          <t>Introducir un texto con el nombre o referencia de la contratación</t>
        </r>
      </text>
    </comment>
    <comment ref="B489" authorId="1" shapeId="0">
      <text>
        <r>
          <rPr>
            <sz val="11"/>
            <color theme="1"/>
            <rFont val="Calibri"/>
            <family val="2"/>
            <scheme val="minor"/>
          </rPr>
          <t>Introduzca un texto con la finalidad de la contratación</t>
        </r>
      </text>
    </comment>
    <comment ref="C489" authorId="1" shapeId="0">
      <text>
        <r>
          <rPr>
            <sz val="11"/>
            <color theme="1"/>
            <rFont val="Calibri"/>
            <family val="2"/>
            <scheme val="minor"/>
          </rPr>
          <t>Seleccionar un valor del listado</t>
        </r>
      </text>
    </comment>
    <comment ref="D489" authorId="1" shapeId="0">
      <text>
        <r>
          <rPr>
            <sz val="11"/>
            <color theme="1"/>
            <rFont val="Calibri"/>
            <family val="2"/>
            <scheme val="minor"/>
          </rPr>
          <t>Seleccione el tipo de procedimiento</t>
        </r>
      </text>
    </comment>
    <comment ref="E489" authorId="1" shapeId="0">
      <text>
        <r>
          <rPr>
            <sz val="11"/>
            <color theme="1"/>
            <rFont val="Calibri"/>
            <family val="2"/>
            <scheme val="minor"/>
          </rPr>
          <t>Seleccione un valor de la lista</t>
        </r>
      </text>
    </comment>
    <comment ref="F489" authorId="2" shapeId="0">
      <text>
        <r>
          <rPr>
            <sz val="11"/>
            <color theme="1"/>
            <rFont val="Calibri"/>
            <family val="2"/>
            <scheme val="minor"/>
          </rPr>
          <t>Introduzca el código SNIP</t>
        </r>
      </text>
    </comment>
    <comment ref="C490" authorId="2" shapeId="0">
      <text>
        <r>
          <rPr>
            <sz val="11"/>
            <color theme="1"/>
            <rFont val="Calibri"/>
            <family val="2"/>
            <scheme val="minor"/>
          </rPr>
          <t>Introduzca la fecha de inicio del proceso, en formato dd-mm-aaaa</t>
        </r>
      </text>
    </comment>
    <comment ref="F4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text/>
    </comment>
    <comment ref="C492" authorId="2" shapeId="0">
      <text>
        <r>
          <rPr>
            <sz val="11"/>
            <color theme="1"/>
            <rFont val="Calibri"/>
            <family val="2"/>
            <scheme val="minor"/>
          </rPr>
          <t>Introduzca la fecha prevista de adjudicación, en formato dd-mm-aaaa</t>
        </r>
      </text>
    </comment>
    <comment ref="F492" authorId="2" shapeId="0">
      <text/>
    </comment>
    <comment ref="F493" authorId="2" shapeId="0">
      <text/>
    </comment>
    <comment ref="A495" authorId="2" shapeId="0">
      <text>
        <r>
          <rPr>
            <sz val="11"/>
            <color theme="1"/>
            <rFont val="Calibri"/>
            <family val="2"/>
            <scheme val="minor"/>
          </rPr>
          <t>Introduzca un codigo UNSPSC</t>
        </r>
      </text>
    </comment>
    <comment ref="B495" authorId="2" shapeId="0">
      <text>
        <r>
          <rPr>
            <sz val="11"/>
            <color theme="1"/>
            <rFont val="Calibri"/>
            <family val="2"/>
            <scheme val="minor"/>
          </rPr>
          <t>Descripción calculada automáticamente a partir de código del artículo</t>
        </r>
      </text>
    </comment>
    <comment ref="C495" authorId="2" shapeId="0">
      <text>
        <r>
          <rPr>
            <sz val="11"/>
            <color theme="1"/>
            <rFont val="Calibri"/>
            <family val="2"/>
            <scheme val="minor"/>
          </rPr>
          <t>Seleccione un valor de la lista</t>
        </r>
      </text>
    </comment>
    <comment ref="D495" authorId="2" shapeId="0">
      <text>
        <r>
          <rPr>
            <sz val="11"/>
            <color theme="1"/>
            <rFont val="Calibri"/>
            <family val="2"/>
            <scheme val="minor"/>
          </rPr>
          <t>Introduzca un número con dos decimales como máximo. Debe ser igual o mayor a la "Cantidad Real Consumida"</t>
        </r>
      </text>
    </comment>
    <comment ref="E495" authorId="2" shapeId="0">
      <text>
        <r>
          <rPr>
            <sz val="11"/>
            <color theme="1"/>
            <rFont val="Calibri"/>
            <family val="2"/>
            <scheme val="minor"/>
          </rPr>
          <t>Introduzca un número con dos decimales como máximo</t>
        </r>
      </text>
    </comment>
    <comment ref="F495" authorId="2" shapeId="0">
      <text>
        <r>
          <rPr>
            <sz val="11"/>
            <color theme="1"/>
            <rFont val="Calibri"/>
            <family val="2"/>
            <scheme val="minor"/>
          </rPr>
          <t>Monto calculado automáticamente por el sistema</t>
        </r>
      </text>
    </comment>
    <comment ref="A500" authorId="1" shapeId="0">
      <text>
        <r>
          <rPr>
            <sz val="11"/>
            <color theme="1"/>
            <rFont val="Calibri"/>
            <family val="2"/>
            <scheme val="minor"/>
          </rPr>
          <t>Introducir un texto con el nombre o referencia de la contratación</t>
        </r>
      </text>
    </comment>
    <comment ref="B500" authorId="1" shapeId="0">
      <text>
        <r>
          <rPr>
            <sz val="11"/>
            <color theme="1"/>
            <rFont val="Calibri"/>
            <family val="2"/>
            <scheme val="minor"/>
          </rPr>
          <t>Introduzca un texto con la finalidad de la contratación</t>
        </r>
      </text>
    </comment>
    <comment ref="C500" authorId="1" shapeId="0">
      <text>
        <r>
          <rPr>
            <sz val="11"/>
            <color theme="1"/>
            <rFont val="Calibri"/>
            <family val="2"/>
            <scheme val="minor"/>
          </rPr>
          <t>Seleccionar un valor del listado</t>
        </r>
      </text>
    </comment>
    <comment ref="D500" authorId="1" shapeId="0">
      <text>
        <r>
          <rPr>
            <sz val="11"/>
            <color theme="1"/>
            <rFont val="Calibri"/>
            <family val="2"/>
            <scheme val="minor"/>
          </rPr>
          <t>Seleccione el tipo de procedimiento</t>
        </r>
      </text>
    </comment>
    <comment ref="E500" authorId="1" shapeId="0">
      <text>
        <r>
          <rPr>
            <sz val="11"/>
            <color theme="1"/>
            <rFont val="Calibri"/>
            <family val="2"/>
            <scheme val="minor"/>
          </rPr>
          <t>Seleccione un valor de la lista</t>
        </r>
      </text>
    </comment>
    <comment ref="F500" authorId="2" shapeId="0">
      <text>
        <r>
          <rPr>
            <sz val="11"/>
            <color theme="1"/>
            <rFont val="Calibri"/>
            <family val="2"/>
            <scheme val="minor"/>
          </rPr>
          <t>Introduzca el código SNIP</t>
        </r>
      </text>
    </comment>
    <comment ref="C501" authorId="2" shapeId="0">
      <text>
        <r>
          <rPr>
            <sz val="11"/>
            <color theme="1"/>
            <rFont val="Calibri"/>
            <family val="2"/>
            <scheme val="minor"/>
          </rPr>
          <t>Introduzca la fecha de inicio del proceso, en formato dd-mm-aaaa</t>
        </r>
      </text>
    </comment>
    <comment ref="F5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2" shapeId="0">
      <text/>
    </comment>
    <comment ref="C503" authorId="2" shapeId="0">
      <text>
        <r>
          <rPr>
            <sz val="11"/>
            <color theme="1"/>
            <rFont val="Calibri"/>
            <family val="2"/>
            <scheme val="minor"/>
          </rPr>
          <t>Introduzca la fecha prevista de adjudicación, en formato dd-mm-aaaa</t>
        </r>
      </text>
    </comment>
    <comment ref="F503" authorId="2" shapeId="0">
      <text/>
    </comment>
    <comment ref="F504" authorId="2" shapeId="0">
      <text/>
    </comment>
    <comment ref="A506" authorId="2" shapeId="0">
      <text>
        <r>
          <rPr>
            <sz val="11"/>
            <color theme="1"/>
            <rFont val="Calibri"/>
            <family val="2"/>
            <scheme val="minor"/>
          </rPr>
          <t>Introduzca un codigo UNSPSC</t>
        </r>
      </text>
    </comment>
    <comment ref="B506" authorId="2" shapeId="0">
      <text>
        <r>
          <rPr>
            <sz val="11"/>
            <color theme="1"/>
            <rFont val="Calibri"/>
            <family val="2"/>
            <scheme val="minor"/>
          </rPr>
          <t>Descripción calculada automáticamente a partir de código del artículo</t>
        </r>
      </text>
    </comment>
    <comment ref="C506" authorId="2" shapeId="0">
      <text>
        <r>
          <rPr>
            <sz val="11"/>
            <color theme="1"/>
            <rFont val="Calibri"/>
            <family val="2"/>
            <scheme val="minor"/>
          </rPr>
          <t>Seleccione un valor de la lista</t>
        </r>
      </text>
    </comment>
    <comment ref="D506" authorId="2" shapeId="0">
      <text>
        <r>
          <rPr>
            <sz val="11"/>
            <color theme="1"/>
            <rFont val="Calibri"/>
            <family val="2"/>
            <scheme val="minor"/>
          </rPr>
          <t>Introduzca un número con dos decimales como máximo. Debe ser igual o mayor a la "Cantidad Real Consumida"</t>
        </r>
      </text>
    </comment>
    <comment ref="E506" authorId="2" shapeId="0">
      <text>
        <r>
          <rPr>
            <sz val="11"/>
            <color theme="1"/>
            <rFont val="Calibri"/>
            <family val="2"/>
            <scheme val="minor"/>
          </rPr>
          <t>Introduzca un número con dos decimales como máximo</t>
        </r>
      </text>
    </comment>
    <comment ref="F506" authorId="2" shapeId="0">
      <text>
        <r>
          <rPr>
            <sz val="11"/>
            <color theme="1"/>
            <rFont val="Calibri"/>
            <family val="2"/>
            <scheme val="minor"/>
          </rPr>
          <t>Monto calculado automáticamente por el sistema</t>
        </r>
      </text>
    </comment>
    <comment ref="A511" authorId="1" shapeId="0">
      <text>
        <r>
          <rPr>
            <sz val="11"/>
            <color theme="1"/>
            <rFont val="Calibri"/>
            <family val="2"/>
            <scheme val="minor"/>
          </rPr>
          <t>Introducir un texto con el nombre o referencia de la contratación</t>
        </r>
      </text>
    </comment>
    <comment ref="B511" authorId="1" shapeId="0">
      <text>
        <r>
          <rPr>
            <sz val="11"/>
            <color theme="1"/>
            <rFont val="Calibri"/>
            <family val="2"/>
            <scheme val="minor"/>
          </rPr>
          <t>Introduzca un texto con la finalidad de la contratación</t>
        </r>
      </text>
    </comment>
    <comment ref="C511" authorId="1" shapeId="0">
      <text>
        <r>
          <rPr>
            <sz val="11"/>
            <color theme="1"/>
            <rFont val="Calibri"/>
            <family val="2"/>
            <scheme val="minor"/>
          </rPr>
          <t>Seleccionar un valor del listado</t>
        </r>
      </text>
    </comment>
    <comment ref="D511" authorId="1" shapeId="0">
      <text>
        <r>
          <rPr>
            <sz val="11"/>
            <color theme="1"/>
            <rFont val="Calibri"/>
            <family val="2"/>
            <scheme val="minor"/>
          </rPr>
          <t>Seleccione el tipo de procedimiento</t>
        </r>
      </text>
    </comment>
    <comment ref="E511" authorId="1" shapeId="0">
      <text>
        <r>
          <rPr>
            <sz val="11"/>
            <color theme="1"/>
            <rFont val="Calibri"/>
            <family val="2"/>
            <scheme val="minor"/>
          </rPr>
          <t>Seleccione un valor de la lista</t>
        </r>
      </text>
    </comment>
    <comment ref="F511" authorId="2" shapeId="0">
      <text>
        <r>
          <rPr>
            <sz val="11"/>
            <color theme="1"/>
            <rFont val="Calibri"/>
            <family val="2"/>
            <scheme val="minor"/>
          </rPr>
          <t>Introduzca el código SNIP</t>
        </r>
      </text>
    </comment>
    <comment ref="C512" authorId="2" shapeId="0">
      <text>
        <r>
          <rPr>
            <sz val="11"/>
            <color theme="1"/>
            <rFont val="Calibri"/>
            <family val="2"/>
            <scheme val="minor"/>
          </rPr>
          <t>Introduzca la fecha de inicio del proceso, en formato dd-mm-aaaa</t>
        </r>
      </text>
    </comment>
    <comment ref="F5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2" shapeId="0">
      <text/>
    </comment>
    <comment ref="C514" authorId="2" shapeId="0">
      <text>
        <r>
          <rPr>
            <sz val="11"/>
            <color theme="1"/>
            <rFont val="Calibri"/>
            <family val="2"/>
            <scheme val="minor"/>
          </rPr>
          <t>Introduzca la fecha prevista de adjudicación, en formato dd-mm-aaaa</t>
        </r>
      </text>
    </comment>
    <comment ref="F514" authorId="2" shapeId="0">
      <text/>
    </comment>
    <comment ref="F515" authorId="2" shapeId="0">
      <text/>
    </comment>
    <comment ref="A517" authorId="2" shapeId="0">
      <text>
        <r>
          <rPr>
            <sz val="11"/>
            <color theme="1"/>
            <rFont val="Calibri"/>
            <family val="2"/>
            <scheme val="minor"/>
          </rPr>
          <t>Introduzca un codigo UNSPSC</t>
        </r>
      </text>
    </comment>
    <comment ref="B517" authorId="2" shapeId="0">
      <text>
        <r>
          <rPr>
            <sz val="11"/>
            <color theme="1"/>
            <rFont val="Calibri"/>
            <family val="2"/>
            <scheme val="minor"/>
          </rPr>
          <t>Descripción calculada automáticamente a partir de código del artículo</t>
        </r>
      </text>
    </comment>
    <comment ref="C517" authorId="2" shapeId="0">
      <text>
        <r>
          <rPr>
            <sz val="11"/>
            <color theme="1"/>
            <rFont val="Calibri"/>
            <family val="2"/>
            <scheme val="minor"/>
          </rPr>
          <t>Seleccione un valor de la lista</t>
        </r>
      </text>
    </comment>
    <comment ref="D517" authorId="2" shapeId="0">
      <text>
        <r>
          <rPr>
            <sz val="11"/>
            <color theme="1"/>
            <rFont val="Calibri"/>
            <family val="2"/>
            <scheme val="minor"/>
          </rPr>
          <t>Introduzca un número con dos decimales como máximo. Debe ser igual o mayor a la "Cantidad Real Consumida"</t>
        </r>
      </text>
    </comment>
    <comment ref="E517" authorId="2" shapeId="0">
      <text>
        <r>
          <rPr>
            <sz val="11"/>
            <color theme="1"/>
            <rFont val="Calibri"/>
            <family val="2"/>
            <scheme val="minor"/>
          </rPr>
          <t>Introduzca un número con dos decimales como máximo</t>
        </r>
      </text>
    </comment>
    <comment ref="F517" authorId="2" shapeId="0">
      <text>
        <r>
          <rPr>
            <sz val="11"/>
            <color theme="1"/>
            <rFont val="Calibri"/>
            <family val="2"/>
            <scheme val="minor"/>
          </rPr>
          <t>Monto calculado automáticamente por el sistema</t>
        </r>
      </text>
    </comment>
    <comment ref="A522" authorId="1" shapeId="0">
      <text>
        <r>
          <rPr>
            <sz val="11"/>
            <color theme="1"/>
            <rFont val="Calibri"/>
            <family val="2"/>
            <scheme val="minor"/>
          </rPr>
          <t>Introducir un texto con el nombre o referencia de la contratación</t>
        </r>
      </text>
    </comment>
    <comment ref="B522" authorId="1" shapeId="0">
      <text>
        <r>
          <rPr>
            <sz val="11"/>
            <color theme="1"/>
            <rFont val="Calibri"/>
            <family val="2"/>
            <scheme val="minor"/>
          </rPr>
          <t>Introduzca un texto con la finalidad de la contratación</t>
        </r>
      </text>
    </comment>
    <comment ref="C522" authorId="1" shapeId="0">
      <text>
        <r>
          <rPr>
            <sz val="11"/>
            <color theme="1"/>
            <rFont val="Calibri"/>
            <family val="2"/>
            <scheme val="minor"/>
          </rPr>
          <t>Seleccionar un valor del listado</t>
        </r>
      </text>
    </comment>
    <comment ref="D522" authorId="1" shapeId="0">
      <text>
        <r>
          <rPr>
            <sz val="11"/>
            <color theme="1"/>
            <rFont val="Calibri"/>
            <family val="2"/>
            <scheme val="minor"/>
          </rPr>
          <t>Seleccione el tipo de procedimiento</t>
        </r>
      </text>
    </comment>
    <comment ref="E522" authorId="1" shapeId="0">
      <text>
        <r>
          <rPr>
            <sz val="11"/>
            <color theme="1"/>
            <rFont val="Calibri"/>
            <family val="2"/>
            <scheme val="minor"/>
          </rPr>
          <t>Seleccione un valor de la lista</t>
        </r>
      </text>
    </comment>
    <comment ref="F522" authorId="2" shapeId="0">
      <text>
        <r>
          <rPr>
            <sz val="11"/>
            <color theme="1"/>
            <rFont val="Calibri"/>
            <family val="2"/>
            <scheme val="minor"/>
          </rPr>
          <t>Introduzca el código SNIP</t>
        </r>
      </text>
    </comment>
    <comment ref="C523" authorId="2" shapeId="0">
      <text>
        <r>
          <rPr>
            <sz val="11"/>
            <color theme="1"/>
            <rFont val="Calibri"/>
            <family val="2"/>
            <scheme val="minor"/>
          </rPr>
          <t>Introduzca la fecha de inicio del proceso, en formato dd-mm-aaaa</t>
        </r>
      </text>
    </comment>
    <comment ref="F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text/>
    </comment>
    <comment ref="C525" authorId="2" shapeId="0">
      <text>
        <r>
          <rPr>
            <sz val="11"/>
            <color theme="1"/>
            <rFont val="Calibri"/>
            <family val="2"/>
            <scheme val="minor"/>
          </rPr>
          <t>Introduzca la fecha prevista de adjudicación, en formato dd-mm-aaaa</t>
        </r>
      </text>
    </comment>
    <comment ref="F525" authorId="2" shapeId="0">
      <text/>
    </comment>
    <comment ref="F526" authorId="2" shapeId="0">
      <text/>
    </comment>
    <comment ref="A528" authorId="2" shapeId="0">
      <text>
        <r>
          <rPr>
            <sz val="11"/>
            <color theme="1"/>
            <rFont val="Calibri"/>
            <family val="2"/>
            <scheme val="minor"/>
          </rPr>
          <t>Introduzca un codigo UNSPSC</t>
        </r>
      </text>
    </comment>
    <comment ref="B528" authorId="2" shapeId="0">
      <text>
        <r>
          <rPr>
            <sz val="11"/>
            <color theme="1"/>
            <rFont val="Calibri"/>
            <family val="2"/>
            <scheme val="minor"/>
          </rPr>
          <t>Descripción calculada automáticamente a partir de código del artículo</t>
        </r>
      </text>
    </comment>
    <comment ref="C528" authorId="2" shapeId="0">
      <text>
        <r>
          <rPr>
            <sz val="11"/>
            <color theme="1"/>
            <rFont val="Calibri"/>
            <family val="2"/>
            <scheme val="minor"/>
          </rPr>
          <t>Seleccione un valor de la lista</t>
        </r>
      </text>
    </comment>
    <comment ref="D528" authorId="2" shapeId="0">
      <text>
        <r>
          <rPr>
            <sz val="11"/>
            <color theme="1"/>
            <rFont val="Calibri"/>
            <family val="2"/>
            <scheme val="minor"/>
          </rPr>
          <t>Introduzca un número con dos decimales como máximo. Debe ser igual o mayor a la "Cantidad Real Consumida"</t>
        </r>
      </text>
    </comment>
    <comment ref="E528" authorId="2" shapeId="0">
      <text>
        <r>
          <rPr>
            <sz val="11"/>
            <color theme="1"/>
            <rFont val="Calibri"/>
            <family val="2"/>
            <scheme val="minor"/>
          </rPr>
          <t>Introduzca un número con dos decimales como máximo</t>
        </r>
      </text>
    </comment>
    <comment ref="F528" authorId="2" shapeId="0">
      <text>
        <r>
          <rPr>
            <sz val="11"/>
            <color theme="1"/>
            <rFont val="Calibri"/>
            <family val="2"/>
            <scheme val="minor"/>
          </rPr>
          <t>Monto calculado automáticamente por el sistema</t>
        </r>
      </text>
    </comment>
    <comment ref="A535" authorId="1" shapeId="0">
      <text>
        <r>
          <rPr>
            <sz val="11"/>
            <color theme="1"/>
            <rFont val="Calibri"/>
            <family val="2"/>
            <scheme val="minor"/>
          </rPr>
          <t>Introducir un texto con el nombre o referencia de la contratación</t>
        </r>
      </text>
    </comment>
    <comment ref="B535" authorId="1" shapeId="0">
      <text>
        <r>
          <rPr>
            <sz val="11"/>
            <color theme="1"/>
            <rFont val="Calibri"/>
            <family val="2"/>
            <scheme val="minor"/>
          </rPr>
          <t>Introduzca un texto con la finalidad de la contratación</t>
        </r>
      </text>
    </comment>
    <comment ref="C535" authorId="1" shapeId="0">
      <text>
        <r>
          <rPr>
            <sz val="11"/>
            <color theme="1"/>
            <rFont val="Calibri"/>
            <family val="2"/>
            <scheme val="minor"/>
          </rPr>
          <t>Seleccionar un valor del listado</t>
        </r>
      </text>
    </comment>
    <comment ref="D535" authorId="1" shapeId="0">
      <text>
        <r>
          <rPr>
            <sz val="11"/>
            <color theme="1"/>
            <rFont val="Calibri"/>
            <family val="2"/>
            <scheme val="minor"/>
          </rPr>
          <t>Seleccione el tipo de procedimiento</t>
        </r>
      </text>
    </comment>
    <comment ref="E535" authorId="1" shapeId="0">
      <text>
        <r>
          <rPr>
            <sz val="11"/>
            <color theme="1"/>
            <rFont val="Calibri"/>
            <family val="2"/>
            <scheme val="minor"/>
          </rPr>
          <t>Seleccione un valor de la lista</t>
        </r>
      </text>
    </comment>
    <comment ref="F535" authorId="2" shapeId="0">
      <text>
        <r>
          <rPr>
            <sz val="11"/>
            <color theme="1"/>
            <rFont val="Calibri"/>
            <family val="2"/>
            <scheme val="minor"/>
          </rPr>
          <t>Introduzca el código SNIP</t>
        </r>
      </text>
    </comment>
    <comment ref="C536" authorId="2" shapeId="0">
      <text>
        <r>
          <rPr>
            <sz val="11"/>
            <color theme="1"/>
            <rFont val="Calibri"/>
            <family val="2"/>
            <scheme val="minor"/>
          </rPr>
          <t>Introduzca la fecha de inicio del proceso, en formato dd-mm-aaaa</t>
        </r>
      </text>
    </comment>
    <comment ref="F5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2" shapeId="0">
      <text/>
    </comment>
    <comment ref="C538" authorId="2" shapeId="0">
      <text>
        <r>
          <rPr>
            <sz val="11"/>
            <color theme="1"/>
            <rFont val="Calibri"/>
            <family val="2"/>
            <scheme val="minor"/>
          </rPr>
          <t>Introduzca la fecha prevista de adjudicación, en formato dd-mm-aaaa</t>
        </r>
      </text>
    </comment>
    <comment ref="F538" authorId="2" shapeId="0">
      <text/>
    </comment>
    <comment ref="F539" authorId="2" shapeId="0">
      <text/>
    </comment>
    <comment ref="A541" authorId="2" shapeId="0">
      <text>
        <r>
          <rPr>
            <sz val="11"/>
            <color theme="1"/>
            <rFont val="Calibri"/>
            <family val="2"/>
            <scheme val="minor"/>
          </rPr>
          <t>Introduzca un codigo UNSPSC</t>
        </r>
      </text>
    </comment>
    <comment ref="B541" authorId="2" shapeId="0">
      <text>
        <r>
          <rPr>
            <sz val="11"/>
            <color theme="1"/>
            <rFont val="Calibri"/>
            <family val="2"/>
            <scheme val="minor"/>
          </rPr>
          <t>Descripción calculada automáticamente a partir de código del artículo</t>
        </r>
      </text>
    </comment>
    <comment ref="C541" authorId="2" shapeId="0">
      <text>
        <r>
          <rPr>
            <sz val="11"/>
            <color theme="1"/>
            <rFont val="Calibri"/>
            <family val="2"/>
            <scheme val="minor"/>
          </rPr>
          <t>Seleccione un valor de la lista</t>
        </r>
      </text>
    </comment>
    <comment ref="D541" authorId="2" shapeId="0">
      <text>
        <r>
          <rPr>
            <sz val="11"/>
            <color theme="1"/>
            <rFont val="Calibri"/>
            <family val="2"/>
            <scheme val="minor"/>
          </rPr>
          <t>Introduzca un número con dos decimales como máximo. Debe ser igual o mayor a la "Cantidad Real Consumida"</t>
        </r>
      </text>
    </comment>
    <comment ref="E541" authorId="2" shapeId="0">
      <text>
        <r>
          <rPr>
            <sz val="11"/>
            <color theme="1"/>
            <rFont val="Calibri"/>
            <family val="2"/>
            <scheme val="minor"/>
          </rPr>
          <t>Introduzca un número con dos decimales como máximo</t>
        </r>
      </text>
    </comment>
    <comment ref="F541" authorId="2" shapeId="0">
      <text>
        <r>
          <rPr>
            <sz val="11"/>
            <color theme="1"/>
            <rFont val="Calibri"/>
            <family val="2"/>
            <scheme val="minor"/>
          </rPr>
          <t>Monto calculado automáticamente por el sistema</t>
        </r>
      </text>
    </comment>
    <comment ref="A546" authorId="2" shapeId="0">
      <text>
        <r>
          <rPr>
            <sz val="11"/>
            <color theme="1"/>
            <rFont val="Calibri"/>
            <family val="2"/>
            <scheme val="minor"/>
          </rPr>
          <t>Introducir un texto con el nombre o referencia de la contratación</t>
        </r>
      </text>
    </comment>
    <comment ref="B546" authorId="2" shapeId="0">
      <text>
        <r>
          <rPr>
            <sz val="11"/>
            <color theme="1"/>
            <rFont val="Calibri"/>
            <family val="2"/>
            <scheme val="minor"/>
          </rPr>
          <t>Introduzca un texto con la finalidad de la contratación</t>
        </r>
      </text>
    </comment>
    <comment ref="C546" authorId="2" shapeId="0">
      <text>
        <r>
          <rPr>
            <sz val="11"/>
            <color theme="1"/>
            <rFont val="Calibri"/>
            <family val="2"/>
            <scheme val="minor"/>
          </rPr>
          <t>Seleccionar un valor del listado</t>
        </r>
      </text>
    </comment>
    <comment ref="D546" authorId="2" shapeId="0">
      <text>
        <r>
          <rPr>
            <sz val="11"/>
            <color theme="1"/>
            <rFont val="Calibri"/>
            <family val="2"/>
            <scheme val="minor"/>
          </rPr>
          <t>Seleccione el tipo de procedimiento</t>
        </r>
      </text>
    </comment>
    <comment ref="E546" authorId="2" shapeId="0">
      <text>
        <r>
          <rPr>
            <sz val="11"/>
            <color theme="1"/>
            <rFont val="Calibri"/>
            <family val="2"/>
            <scheme val="minor"/>
          </rPr>
          <t>Seleccione un valor de la lista</t>
        </r>
      </text>
    </comment>
    <comment ref="F546" authorId="2" shapeId="0">
      <text>
        <r>
          <rPr>
            <sz val="11"/>
            <color theme="1"/>
            <rFont val="Calibri"/>
            <family val="2"/>
            <scheme val="minor"/>
          </rPr>
          <t>Introduzca el código SNIP</t>
        </r>
      </text>
    </comment>
    <comment ref="C547" authorId="2" shapeId="0">
      <text>
        <r>
          <rPr>
            <sz val="11"/>
            <color theme="1"/>
            <rFont val="Calibri"/>
            <family val="2"/>
            <scheme val="minor"/>
          </rPr>
          <t>Introduzca la fecha de inicio del proceso, en formato dd-mm-aaaa</t>
        </r>
      </text>
    </comment>
    <comment ref="F5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2" shapeId="0">
      <text/>
    </comment>
    <comment ref="C549" authorId="2" shapeId="0">
      <text>
        <r>
          <rPr>
            <sz val="11"/>
            <color theme="1"/>
            <rFont val="Calibri"/>
            <family val="2"/>
            <scheme val="minor"/>
          </rPr>
          <t>Introduzca la fecha prevista de adjudicación, en formato dd-mm-aaaa</t>
        </r>
      </text>
    </comment>
    <comment ref="F549" authorId="2" shapeId="0">
      <text/>
    </comment>
    <comment ref="F550" authorId="2" shapeId="0">
      <text/>
    </comment>
    <comment ref="A552" authorId="2" shapeId="0">
      <text>
        <r>
          <rPr>
            <sz val="11"/>
            <color theme="1"/>
            <rFont val="Calibri"/>
            <family val="2"/>
            <scheme val="minor"/>
          </rPr>
          <t>Introduzca un codigo UNSPSC</t>
        </r>
      </text>
    </comment>
    <comment ref="B552" authorId="2" shapeId="0">
      <text>
        <r>
          <rPr>
            <sz val="11"/>
            <color theme="1"/>
            <rFont val="Calibri"/>
            <family val="2"/>
            <scheme val="minor"/>
          </rPr>
          <t>Descripción calculada automáticamente a partir de código del artículo</t>
        </r>
      </text>
    </comment>
    <comment ref="C552" authorId="2" shapeId="0">
      <text>
        <r>
          <rPr>
            <sz val="11"/>
            <color theme="1"/>
            <rFont val="Calibri"/>
            <family val="2"/>
            <scheme val="minor"/>
          </rPr>
          <t>Seleccione un valor de la lista</t>
        </r>
      </text>
    </comment>
    <comment ref="D552" authorId="2" shapeId="0">
      <text>
        <r>
          <rPr>
            <sz val="11"/>
            <color theme="1"/>
            <rFont val="Calibri"/>
            <family val="2"/>
            <scheme val="minor"/>
          </rPr>
          <t>Introduzca un número con dos decimales como máximo. Debe ser igual o mayor a la "Cantidad Real Consumida"</t>
        </r>
      </text>
    </comment>
    <comment ref="E552" authorId="2" shapeId="0">
      <text>
        <r>
          <rPr>
            <sz val="11"/>
            <color theme="1"/>
            <rFont val="Calibri"/>
            <family val="2"/>
            <scheme val="minor"/>
          </rPr>
          <t>Introduzca un número con dos decimales como máximo</t>
        </r>
      </text>
    </comment>
    <comment ref="F552" authorId="2" shapeId="0">
      <text>
        <r>
          <rPr>
            <sz val="11"/>
            <color theme="1"/>
            <rFont val="Calibri"/>
            <family val="2"/>
            <scheme val="minor"/>
          </rPr>
          <t>Monto calculado automáticamente por el sistema</t>
        </r>
      </text>
    </comment>
    <comment ref="A557" authorId="1" shapeId="0">
      <text>
        <r>
          <rPr>
            <sz val="11"/>
            <color theme="1"/>
            <rFont val="Calibri"/>
            <family val="2"/>
            <scheme val="minor"/>
          </rPr>
          <t>Introducir un texto con el nombre o referencia de la contratación</t>
        </r>
      </text>
    </comment>
    <comment ref="B557" authorId="1" shapeId="0">
      <text>
        <r>
          <rPr>
            <sz val="11"/>
            <color theme="1"/>
            <rFont val="Calibri"/>
            <family val="2"/>
            <scheme val="minor"/>
          </rPr>
          <t>Introduzca un texto con la finalidad de la contratación</t>
        </r>
      </text>
    </comment>
    <comment ref="C557" authorId="1" shapeId="0">
      <text>
        <r>
          <rPr>
            <sz val="11"/>
            <color theme="1"/>
            <rFont val="Calibri"/>
            <family val="2"/>
            <scheme val="minor"/>
          </rPr>
          <t>Seleccionar un valor del listado</t>
        </r>
      </text>
    </comment>
    <comment ref="D557" authorId="1" shapeId="0">
      <text>
        <r>
          <rPr>
            <sz val="11"/>
            <color theme="1"/>
            <rFont val="Calibri"/>
            <family val="2"/>
            <scheme val="minor"/>
          </rPr>
          <t>Seleccione el tipo de procedimiento</t>
        </r>
      </text>
    </comment>
    <comment ref="E557" authorId="1" shapeId="0">
      <text>
        <r>
          <rPr>
            <sz val="11"/>
            <color theme="1"/>
            <rFont val="Calibri"/>
            <family val="2"/>
            <scheme val="minor"/>
          </rPr>
          <t>Seleccione un valor de la lista</t>
        </r>
      </text>
    </comment>
    <comment ref="F557" authorId="2" shapeId="0">
      <text>
        <r>
          <rPr>
            <sz val="11"/>
            <color theme="1"/>
            <rFont val="Calibri"/>
            <family val="2"/>
            <scheme val="minor"/>
          </rPr>
          <t>Introduzca el código SNIP</t>
        </r>
      </text>
    </comment>
    <comment ref="C558" authorId="2" shapeId="0">
      <text>
        <r>
          <rPr>
            <sz val="11"/>
            <color theme="1"/>
            <rFont val="Calibri"/>
            <family val="2"/>
            <scheme val="minor"/>
          </rPr>
          <t>Introduzca la fecha de inicio del proceso, en formato dd-mm-aaaa</t>
        </r>
      </text>
    </comment>
    <comment ref="F5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text/>
    </comment>
    <comment ref="C560" authorId="2" shapeId="0">
      <text>
        <r>
          <rPr>
            <sz val="11"/>
            <color theme="1"/>
            <rFont val="Calibri"/>
            <family val="2"/>
            <scheme val="minor"/>
          </rPr>
          <t>Introduzca la fecha prevista de adjudicación, en formato dd-mm-aaaa</t>
        </r>
      </text>
    </comment>
    <comment ref="F560" authorId="2" shapeId="0">
      <text/>
    </comment>
    <comment ref="F561" authorId="2" shapeId="0">
      <text/>
    </comment>
    <comment ref="A563" authorId="2" shapeId="0">
      <text>
        <r>
          <rPr>
            <sz val="11"/>
            <color theme="1"/>
            <rFont val="Calibri"/>
            <family val="2"/>
            <scheme val="minor"/>
          </rPr>
          <t>Introduzca un codigo UNSPSC</t>
        </r>
      </text>
    </comment>
    <comment ref="B563" authorId="2" shapeId="0">
      <text>
        <r>
          <rPr>
            <sz val="11"/>
            <color theme="1"/>
            <rFont val="Calibri"/>
            <family val="2"/>
            <scheme val="minor"/>
          </rPr>
          <t>Descripción calculada automáticamente a partir de código del artículo</t>
        </r>
      </text>
    </comment>
    <comment ref="C563" authorId="2" shapeId="0">
      <text>
        <r>
          <rPr>
            <sz val="11"/>
            <color theme="1"/>
            <rFont val="Calibri"/>
            <family val="2"/>
            <scheme val="minor"/>
          </rPr>
          <t>Seleccione un valor de la lista</t>
        </r>
      </text>
    </comment>
    <comment ref="D563" authorId="2" shapeId="0">
      <text>
        <r>
          <rPr>
            <sz val="11"/>
            <color theme="1"/>
            <rFont val="Calibri"/>
            <family val="2"/>
            <scheme val="minor"/>
          </rPr>
          <t>Introduzca un número con dos decimales como máximo. Debe ser igual o mayor a la "Cantidad Real Consumida"</t>
        </r>
      </text>
    </comment>
    <comment ref="E563" authorId="2" shapeId="0">
      <text>
        <r>
          <rPr>
            <sz val="11"/>
            <color theme="1"/>
            <rFont val="Calibri"/>
            <family val="2"/>
            <scheme val="minor"/>
          </rPr>
          <t>Introduzca un número con dos decimales como máximo</t>
        </r>
      </text>
    </comment>
    <comment ref="F563" authorId="2" shapeId="0">
      <text>
        <r>
          <rPr>
            <sz val="11"/>
            <color theme="1"/>
            <rFont val="Calibri"/>
            <family val="2"/>
            <scheme val="minor"/>
          </rPr>
          <t>Monto calculado automáticamente por el sistema</t>
        </r>
      </text>
    </comment>
    <comment ref="A568" authorId="1" shapeId="0">
      <text>
        <r>
          <rPr>
            <sz val="11"/>
            <color theme="1"/>
            <rFont val="Calibri"/>
            <family val="2"/>
            <scheme val="minor"/>
          </rPr>
          <t>Introducir un texto con el nombre o referencia de la contratación</t>
        </r>
      </text>
    </comment>
    <comment ref="B568" authorId="1" shapeId="0">
      <text>
        <r>
          <rPr>
            <sz val="11"/>
            <color theme="1"/>
            <rFont val="Calibri"/>
            <family val="2"/>
            <scheme val="minor"/>
          </rPr>
          <t>Introduzca un texto con la finalidad de la contratación</t>
        </r>
      </text>
    </comment>
    <comment ref="C568" authorId="1" shapeId="0">
      <text>
        <r>
          <rPr>
            <sz val="11"/>
            <color theme="1"/>
            <rFont val="Calibri"/>
            <family val="2"/>
            <scheme val="minor"/>
          </rPr>
          <t>Seleccionar un valor del listado</t>
        </r>
      </text>
    </comment>
    <comment ref="D568" authorId="1" shapeId="0">
      <text>
        <r>
          <rPr>
            <sz val="11"/>
            <color theme="1"/>
            <rFont val="Calibri"/>
            <family val="2"/>
            <scheme val="minor"/>
          </rPr>
          <t>Seleccione el tipo de procedimiento</t>
        </r>
      </text>
    </comment>
    <comment ref="E568" authorId="1" shapeId="0">
      <text>
        <r>
          <rPr>
            <sz val="11"/>
            <color theme="1"/>
            <rFont val="Calibri"/>
            <family val="2"/>
            <scheme val="minor"/>
          </rPr>
          <t>Seleccione un valor de la lista</t>
        </r>
      </text>
    </comment>
    <comment ref="F568" authorId="2" shapeId="0">
      <text>
        <r>
          <rPr>
            <sz val="11"/>
            <color theme="1"/>
            <rFont val="Calibri"/>
            <family val="2"/>
            <scheme val="minor"/>
          </rPr>
          <t>Introduzca el código SNIP</t>
        </r>
      </text>
    </comment>
    <comment ref="C569" authorId="2" shapeId="0">
      <text>
        <r>
          <rPr>
            <sz val="11"/>
            <color theme="1"/>
            <rFont val="Calibri"/>
            <family val="2"/>
            <scheme val="minor"/>
          </rPr>
          <t>Introduzca la fecha de inicio del proceso, en formato dd-mm-aaaa</t>
        </r>
      </text>
    </comment>
    <comment ref="F5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2" shapeId="0">
      <text/>
    </comment>
    <comment ref="C571" authorId="2" shapeId="0">
      <text>
        <r>
          <rPr>
            <sz val="11"/>
            <color theme="1"/>
            <rFont val="Calibri"/>
            <family val="2"/>
            <scheme val="minor"/>
          </rPr>
          <t>Introduzca la fecha prevista de adjudicación, en formato dd-mm-aaaa</t>
        </r>
      </text>
    </comment>
    <comment ref="F571" authorId="2" shapeId="0">
      <text/>
    </comment>
    <comment ref="F572" authorId="2" shapeId="0">
      <text/>
    </comment>
    <comment ref="A574" authorId="2" shapeId="0">
      <text>
        <r>
          <rPr>
            <sz val="11"/>
            <color theme="1"/>
            <rFont val="Calibri"/>
            <family val="2"/>
            <scheme val="minor"/>
          </rPr>
          <t>Introduzca un codigo UNSPSC</t>
        </r>
      </text>
    </comment>
    <comment ref="B574" authorId="2" shapeId="0">
      <text>
        <r>
          <rPr>
            <sz val="11"/>
            <color theme="1"/>
            <rFont val="Calibri"/>
            <family val="2"/>
            <scheme val="minor"/>
          </rPr>
          <t>Descripción calculada automáticamente a partir de código del artículo</t>
        </r>
      </text>
    </comment>
    <comment ref="C574" authorId="2" shapeId="0">
      <text>
        <r>
          <rPr>
            <sz val="11"/>
            <color theme="1"/>
            <rFont val="Calibri"/>
            <family val="2"/>
            <scheme val="minor"/>
          </rPr>
          <t>Seleccione un valor de la lista</t>
        </r>
      </text>
    </comment>
    <comment ref="D574" authorId="2" shapeId="0">
      <text>
        <r>
          <rPr>
            <sz val="11"/>
            <color theme="1"/>
            <rFont val="Calibri"/>
            <family val="2"/>
            <scheme val="minor"/>
          </rPr>
          <t>Introduzca un número con dos decimales como máximo. Debe ser igual o mayor a la "Cantidad Real Consumida"</t>
        </r>
      </text>
    </comment>
    <comment ref="E574" authorId="2" shapeId="0">
      <text>
        <r>
          <rPr>
            <sz val="11"/>
            <color theme="1"/>
            <rFont val="Calibri"/>
            <family val="2"/>
            <scheme val="minor"/>
          </rPr>
          <t>Introduzca un número con dos decimales como máximo</t>
        </r>
      </text>
    </comment>
    <comment ref="F574" authorId="2" shapeId="0">
      <text>
        <r>
          <rPr>
            <sz val="11"/>
            <color theme="1"/>
            <rFont val="Calibri"/>
            <family val="2"/>
            <scheme val="minor"/>
          </rPr>
          <t>Monto calculado automáticamente por el sistema</t>
        </r>
      </text>
    </comment>
    <comment ref="A579" authorId="1" shapeId="0">
      <text>
        <r>
          <rPr>
            <sz val="11"/>
            <color theme="1"/>
            <rFont val="Calibri"/>
            <family val="2"/>
            <scheme val="minor"/>
          </rPr>
          <t>Introducir un texto con el nombre o referencia de la contratación</t>
        </r>
      </text>
    </comment>
    <comment ref="B579" authorId="1" shapeId="0">
      <text>
        <r>
          <rPr>
            <sz val="11"/>
            <color theme="1"/>
            <rFont val="Calibri"/>
            <family val="2"/>
            <scheme val="minor"/>
          </rPr>
          <t>Introduzca un texto con la finalidad de la contratación</t>
        </r>
      </text>
    </comment>
    <comment ref="C579" authorId="1" shapeId="0">
      <text>
        <r>
          <rPr>
            <sz val="11"/>
            <color theme="1"/>
            <rFont val="Calibri"/>
            <family val="2"/>
            <scheme val="minor"/>
          </rPr>
          <t>Seleccionar un valor del listado</t>
        </r>
      </text>
    </comment>
    <comment ref="D579" authorId="1" shapeId="0">
      <text>
        <r>
          <rPr>
            <sz val="11"/>
            <color theme="1"/>
            <rFont val="Calibri"/>
            <family val="2"/>
            <scheme val="minor"/>
          </rPr>
          <t>Seleccione el tipo de procedimiento</t>
        </r>
      </text>
    </comment>
    <comment ref="E579" authorId="1" shapeId="0">
      <text>
        <r>
          <rPr>
            <sz val="11"/>
            <color theme="1"/>
            <rFont val="Calibri"/>
            <family val="2"/>
            <scheme val="minor"/>
          </rPr>
          <t>Seleccione un valor de la lista</t>
        </r>
      </text>
    </comment>
    <comment ref="F579" authorId="2" shapeId="0">
      <text>
        <r>
          <rPr>
            <sz val="11"/>
            <color theme="1"/>
            <rFont val="Calibri"/>
            <family val="2"/>
            <scheme val="minor"/>
          </rPr>
          <t>Introduzca el código SNIP</t>
        </r>
      </text>
    </comment>
    <comment ref="C580" authorId="2" shapeId="0">
      <text>
        <r>
          <rPr>
            <sz val="11"/>
            <color theme="1"/>
            <rFont val="Calibri"/>
            <family val="2"/>
            <scheme val="minor"/>
          </rPr>
          <t>Introduzca la fecha de inicio del proceso, en formato dd-mm-aaaa</t>
        </r>
      </text>
    </comment>
    <comment ref="F5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text/>
    </comment>
    <comment ref="C582" authorId="2" shapeId="0">
      <text>
        <r>
          <rPr>
            <sz val="11"/>
            <color theme="1"/>
            <rFont val="Calibri"/>
            <family val="2"/>
            <scheme val="minor"/>
          </rPr>
          <t>Introduzca la fecha prevista de adjudicación, en formato dd-mm-aaaa</t>
        </r>
      </text>
    </comment>
    <comment ref="F582" authorId="2" shapeId="0">
      <text/>
    </comment>
    <comment ref="F583" authorId="2" shapeId="0">
      <text/>
    </comment>
    <comment ref="A585" authorId="2" shapeId="0">
      <text>
        <r>
          <rPr>
            <sz val="11"/>
            <color theme="1"/>
            <rFont val="Calibri"/>
            <family val="2"/>
            <scheme val="minor"/>
          </rPr>
          <t>Introduzca un codigo UNSPSC</t>
        </r>
      </text>
    </comment>
    <comment ref="B585" authorId="2" shapeId="0">
      <text>
        <r>
          <rPr>
            <sz val="11"/>
            <color theme="1"/>
            <rFont val="Calibri"/>
            <family val="2"/>
            <scheme val="minor"/>
          </rPr>
          <t>Descripción calculada automáticamente a partir de código del artículo</t>
        </r>
      </text>
    </comment>
    <comment ref="C585" authorId="2" shapeId="0">
      <text>
        <r>
          <rPr>
            <sz val="11"/>
            <color theme="1"/>
            <rFont val="Calibri"/>
            <family val="2"/>
            <scheme val="minor"/>
          </rPr>
          <t>Seleccione un valor de la lista</t>
        </r>
      </text>
    </comment>
    <comment ref="D585" authorId="2" shapeId="0">
      <text>
        <r>
          <rPr>
            <sz val="11"/>
            <color theme="1"/>
            <rFont val="Calibri"/>
            <family val="2"/>
            <scheme val="minor"/>
          </rPr>
          <t>Introduzca un número con dos decimales como máximo. Debe ser igual o mayor a la "Cantidad Real Consumida"</t>
        </r>
      </text>
    </comment>
    <comment ref="E585" authorId="2" shapeId="0">
      <text>
        <r>
          <rPr>
            <sz val="11"/>
            <color theme="1"/>
            <rFont val="Calibri"/>
            <family val="2"/>
            <scheme val="minor"/>
          </rPr>
          <t>Introduzca un número con dos decimales como máximo</t>
        </r>
      </text>
    </comment>
    <comment ref="F585" authorId="2" shapeId="0">
      <text>
        <r>
          <rPr>
            <sz val="11"/>
            <color theme="1"/>
            <rFont val="Calibri"/>
            <family val="2"/>
            <scheme val="minor"/>
          </rPr>
          <t>Monto calculado automáticamente por el sistema</t>
        </r>
      </text>
    </comment>
    <comment ref="A590" authorId="2" shapeId="0">
      <text>
        <r>
          <rPr>
            <sz val="11"/>
            <color theme="1"/>
            <rFont val="Calibri"/>
            <family val="2"/>
            <scheme val="minor"/>
          </rPr>
          <t>Introducir un texto con el nombre o referencia de la contratación</t>
        </r>
      </text>
    </comment>
    <comment ref="B590" authorId="2" shapeId="0">
      <text>
        <r>
          <rPr>
            <sz val="11"/>
            <color theme="1"/>
            <rFont val="Calibri"/>
            <family val="2"/>
            <scheme val="minor"/>
          </rPr>
          <t>Introduzca un texto con la finalidad de la contratación</t>
        </r>
      </text>
    </comment>
    <comment ref="C590" authorId="2" shapeId="0">
      <text>
        <r>
          <rPr>
            <sz val="11"/>
            <color theme="1"/>
            <rFont val="Calibri"/>
            <family val="2"/>
            <scheme val="minor"/>
          </rPr>
          <t>Seleccionar un valor del listado</t>
        </r>
      </text>
    </comment>
    <comment ref="D590" authorId="2" shapeId="0">
      <text>
        <r>
          <rPr>
            <sz val="11"/>
            <color theme="1"/>
            <rFont val="Calibri"/>
            <family val="2"/>
            <scheme val="minor"/>
          </rPr>
          <t>Seleccione el tipo de procedimiento</t>
        </r>
      </text>
    </comment>
    <comment ref="E590" authorId="2" shapeId="0">
      <text>
        <r>
          <rPr>
            <sz val="11"/>
            <color theme="1"/>
            <rFont val="Calibri"/>
            <family val="2"/>
            <scheme val="minor"/>
          </rPr>
          <t>Seleccione un valor de la lista</t>
        </r>
      </text>
    </comment>
    <comment ref="F590" authorId="2" shapeId="0">
      <text>
        <r>
          <rPr>
            <sz val="11"/>
            <color theme="1"/>
            <rFont val="Calibri"/>
            <family val="2"/>
            <scheme val="minor"/>
          </rPr>
          <t>Introduzca el código SNIP</t>
        </r>
      </text>
    </comment>
    <comment ref="C591" authorId="2" shapeId="0">
      <text>
        <r>
          <rPr>
            <sz val="11"/>
            <color theme="1"/>
            <rFont val="Calibri"/>
            <family val="2"/>
            <scheme val="minor"/>
          </rPr>
          <t>Introduzca la fecha de inicio del proceso, en formato dd-mm-aaaa</t>
        </r>
      </text>
    </comment>
    <comment ref="F5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2" shapeId="0">
      <text/>
    </comment>
    <comment ref="C593" authorId="2" shapeId="0">
      <text>
        <r>
          <rPr>
            <sz val="11"/>
            <color theme="1"/>
            <rFont val="Calibri"/>
            <family val="2"/>
            <scheme val="minor"/>
          </rPr>
          <t>Introduzca la fecha prevista de adjudicación, en formato dd-mm-aaaa</t>
        </r>
      </text>
    </comment>
    <comment ref="F593" authorId="2" shapeId="0">
      <text/>
    </comment>
    <comment ref="F594" authorId="2" shapeId="0">
      <text/>
    </comment>
    <comment ref="A596" authorId="2" shapeId="0">
      <text>
        <r>
          <rPr>
            <sz val="11"/>
            <color theme="1"/>
            <rFont val="Calibri"/>
            <family val="2"/>
            <scheme val="minor"/>
          </rPr>
          <t>Introduzca un codigo UNSPSC</t>
        </r>
      </text>
    </comment>
    <comment ref="B596" authorId="2" shapeId="0">
      <text>
        <r>
          <rPr>
            <sz val="11"/>
            <color theme="1"/>
            <rFont val="Calibri"/>
            <family val="2"/>
            <scheme val="minor"/>
          </rPr>
          <t>Descripción calculada automáticamente a partir de código del artículo</t>
        </r>
      </text>
    </comment>
    <comment ref="C596" authorId="2" shapeId="0">
      <text>
        <r>
          <rPr>
            <sz val="11"/>
            <color theme="1"/>
            <rFont val="Calibri"/>
            <family val="2"/>
            <scheme val="minor"/>
          </rPr>
          <t>Seleccione un valor de la lista</t>
        </r>
      </text>
    </comment>
    <comment ref="D596" authorId="2" shapeId="0">
      <text>
        <r>
          <rPr>
            <sz val="11"/>
            <color theme="1"/>
            <rFont val="Calibri"/>
            <family val="2"/>
            <scheme val="minor"/>
          </rPr>
          <t>Introduzca un número con dos decimales como máximo. Debe ser igual o mayor a la "Cantidad Real Consumida"</t>
        </r>
      </text>
    </comment>
    <comment ref="E596" authorId="2" shapeId="0">
      <text>
        <r>
          <rPr>
            <sz val="11"/>
            <color theme="1"/>
            <rFont val="Calibri"/>
            <family val="2"/>
            <scheme val="minor"/>
          </rPr>
          <t>Introduzca un número con dos decimales como máximo</t>
        </r>
      </text>
    </comment>
    <comment ref="F596" authorId="2" shapeId="0">
      <text>
        <r>
          <rPr>
            <sz val="11"/>
            <color theme="1"/>
            <rFont val="Calibri"/>
            <family val="2"/>
            <scheme val="minor"/>
          </rPr>
          <t>Monto calculado automáticamente por el sistema</t>
        </r>
      </text>
    </comment>
    <comment ref="A601" authorId="2" shapeId="0">
      <text>
        <r>
          <rPr>
            <sz val="11"/>
            <color theme="1"/>
            <rFont val="Calibri"/>
            <family val="2"/>
            <scheme val="minor"/>
          </rPr>
          <t>Introducir un texto con el nombre o referencia de la contratación</t>
        </r>
      </text>
    </comment>
    <comment ref="B601" authorId="2" shapeId="0">
      <text>
        <r>
          <rPr>
            <sz val="11"/>
            <color theme="1"/>
            <rFont val="Calibri"/>
            <family val="2"/>
            <scheme val="minor"/>
          </rPr>
          <t>Introduzca un texto con la finalidad de la contratación</t>
        </r>
      </text>
    </comment>
    <comment ref="C601" authorId="2" shapeId="0">
      <text>
        <r>
          <rPr>
            <sz val="11"/>
            <color theme="1"/>
            <rFont val="Calibri"/>
            <family val="2"/>
            <scheme val="minor"/>
          </rPr>
          <t>Seleccionar un valor del listado</t>
        </r>
      </text>
    </comment>
    <comment ref="D601" authorId="2" shapeId="0">
      <text>
        <r>
          <rPr>
            <sz val="11"/>
            <color theme="1"/>
            <rFont val="Calibri"/>
            <family val="2"/>
            <scheme val="minor"/>
          </rPr>
          <t>Seleccione el tipo de procedimiento</t>
        </r>
      </text>
    </comment>
    <comment ref="E601" authorId="2" shapeId="0">
      <text>
        <r>
          <rPr>
            <sz val="11"/>
            <color theme="1"/>
            <rFont val="Calibri"/>
            <family val="2"/>
            <scheme val="minor"/>
          </rPr>
          <t>Seleccione un valor de la lista</t>
        </r>
      </text>
    </comment>
    <comment ref="F601" authorId="2" shapeId="0">
      <text>
        <r>
          <rPr>
            <sz val="11"/>
            <color theme="1"/>
            <rFont val="Calibri"/>
            <family val="2"/>
            <scheme val="minor"/>
          </rPr>
          <t>Introduzca el código SNIP</t>
        </r>
      </text>
    </comment>
    <comment ref="C602" authorId="2" shapeId="0">
      <text>
        <r>
          <rPr>
            <sz val="11"/>
            <color theme="1"/>
            <rFont val="Calibri"/>
            <family val="2"/>
            <scheme val="minor"/>
          </rPr>
          <t>Introduzca la fecha de inicio del proceso, en formato dd-mm-aaaa</t>
        </r>
      </text>
    </comment>
    <comment ref="F6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2" shapeId="0">
      <text/>
    </comment>
    <comment ref="C604" authorId="2" shapeId="0">
      <text>
        <r>
          <rPr>
            <sz val="11"/>
            <color theme="1"/>
            <rFont val="Calibri"/>
            <family val="2"/>
            <scheme val="minor"/>
          </rPr>
          <t>Introduzca la fecha prevista de adjudicación, en formato dd-mm-aaaa</t>
        </r>
      </text>
    </comment>
    <comment ref="F604" authorId="2" shapeId="0">
      <text/>
    </comment>
    <comment ref="F605" authorId="2" shapeId="0">
      <text/>
    </comment>
    <comment ref="A607" authorId="2" shapeId="0">
      <text>
        <r>
          <rPr>
            <sz val="11"/>
            <color theme="1"/>
            <rFont val="Calibri"/>
            <family val="2"/>
            <scheme val="minor"/>
          </rPr>
          <t>Introduzca un codigo UNSPSC</t>
        </r>
      </text>
    </comment>
    <comment ref="B607" authorId="2" shapeId="0">
      <text>
        <r>
          <rPr>
            <sz val="11"/>
            <color theme="1"/>
            <rFont val="Calibri"/>
            <family val="2"/>
            <scheme val="minor"/>
          </rPr>
          <t>Descripción calculada automáticamente a partir de código del artículo</t>
        </r>
      </text>
    </comment>
    <comment ref="C607" authorId="2" shapeId="0">
      <text>
        <r>
          <rPr>
            <sz val="11"/>
            <color theme="1"/>
            <rFont val="Calibri"/>
            <family val="2"/>
            <scheme val="minor"/>
          </rPr>
          <t>Seleccione un valor de la lista</t>
        </r>
      </text>
    </comment>
    <comment ref="D607" authorId="2" shapeId="0">
      <text>
        <r>
          <rPr>
            <sz val="11"/>
            <color theme="1"/>
            <rFont val="Calibri"/>
            <family val="2"/>
            <scheme val="minor"/>
          </rPr>
          <t>Introduzca un número con dos decimales como máximo. Debe ser igual o mayor a la "Cantidad Real Consumida"</t>
        </r>
      </text>
    </comment>
    <comment ref="E607" authorId="2" shapeId="0">
      <text>
        <r>
          <rPr>
            <sz val="11"/>
            <color theme="1"/>
            <rFont val="Calibri"/>
            <family val="2"/>
            <scheme val="minor"/>
          </rPr>
          <t>Introduzca un número con dos decimales como máximo</t>
        </r>
      </text>
    </comment>
    <comment ref="F607" authorId="2" shapeId="0">
      <text>
        <r>
          <rPr>
            <sz val="11"/>
            <color theme="1"/>
            <rFont val="Calibri"/>
            <family val="2"/>
            <scheme val="minor"/>
          </rPr>
          <t>Monto calculado automáticamente por el sistema</t>
        </r>
      </text>
    </comment>
    <comment ref="A612" authorId="1" shapeId="0">
      <text>
        <r>
          <rPr>
            <sz val="11"/>
            <color theme="1"/>
            <rFont val="Calibri"/>
            <family val="2"/>
            <scheme val="minor"/>
          </rPr>
          <t>Introducir un texto con el nombre o referencia de la contratación</t>
        </r>
      </text>
    </comment>
    <comment ref="B612" authorId="1" shapeId="0">
      <text>
        <r>
          <rPr>
            <sz val="11"/>
            <color theme="1"/>
            <rFont val="Calibri"/>
            <family val="2"/>
            <scheme val="minor"/>
          </rPr>
          <t>Introduzca un texto con la finalidad de la contratación</t>
        </r>
      </text>
    </comment>
    <comment ref="C612" authorId="1" shapeId="0">
      <text>
        <r>
          <rPr>
            <sz val="11"/>
            <color theme="1"/>
            <rFont val="Calibri"/>
            <family val="2"/>
            <scheme val="minor"/>
          </rPr>
          <t>Seleccionar un valor del listado</t>
        </r>
      </text>
    </comment>
    <comment ref="D612" authorId="1" shapeId="0">
      <text>
        <r>
          <rPr>
            <sz val="11"/>
            <color theme="1"/>
            <rFont val="Calibri"/>
            <family val="2"/>
            <scheme val="minor"/>
          </rPr>
          <t>Seleccione el tipo de procedimiento</t>
        </r>
      </text>
    </comment>
    <comment ref="E612" authorId="1" shapeId="0">
      <text>
        <r>
          <rPr>
            <sz val="11"/>
            <color theme="1"/>
            <rFont val="Calibri"/>
            <family val="2"/>
            <scheme val="minor"/>
          </rPr>
          <t>Seleccione un valor de la lista</t>
        </r>
      </text>
    </comment>
    <comment ref="F612" authorId="2" shapeId="0">
      <text>
        <r>
          <rPr>
            <sz val="11"/>
            <color theme="1"/>
            <rFont val="Calibri"/>
            <family val="2"/>
            <scheme val="minor"/>
          </rPr>
          <t>Introduzca el código SNIP</t>
        </r>
      </text>
    </comment>
    <comment ref="C613" authorId="2" shapeId="0">
      <text>
        <r>
          <rPr>
            <sz val="11"/>
            <color theme="1"/>
            <rFont val="Calibri"/>
            <family val="2"/>
            <scheme val="minor"/>
          </rPr>
          <t>Introduzca la fecha de inicio del proceso, en formato dd-mm-aaaa</t>
        </r>
      </text>
    </comment>
    <comment ref="F6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2" shapeId="0">
      <text/>
    </comment>
    <comment ref="C615" authorId="2" shapeId="0">
      <text>
        <r>
          <rPr>
            <sz val="11"/>
            <color theme="1"/>
            <rFont val="Calibri"/>
            <family val="2"/>
            <scheme val="minor"/>
          </rPr>
          <t>Introduzca la fecha prevista de adjudicación, en formato dd-mm-aaaa</t>
        </r>
      </text>
    </comment>
    <comment ref="F615" authorId="2" shapeId="0">
      <text/>
    </comment>
    <comment ref="F616" authorId="2" shapeId="0">
      <text/>
    </comment>
    <comment ref="A618" authorId="2" shapeId="0">
      <text>
        <r>
          <rPr>
            <sz val="11"/>
            <color theme="1"/>
            <rFont val="Calibri"/>
            <family val="2"/>
            <scheme val="minor"/>
          </rPr>
          <t>Introduzca un codigo UNSPSC</t>
        </r>
      </text>
    </comment>
    <comment ref="B618" authorId="2" shapeId="0">
      <text>
        <r>
          <rPr>
            <sz val="11"/>
            <color theme="1"/>
            <rFont val="Calibri"/>
            <family val="2"/>
            <scheme val="minor"/>
          </rPr>
          <t>Descripción calculada automáticamente a partir de código del artículo</t>
        </r>
      </text>
    </comment>
    <comment ref="C618" authorId="2" shapeId="0">
      <text>
        <r>
          <rPr>
            <sz val="11"/>
            <color theme="1"/>
            <rFont val="Calibri"/>
            <family val="2"/>
            <scheme val="minor"/>
          </rPr>
          <t>Seleccione un valor de la lista</t>
        </r>
      </text>
    </comment>
    <comment ref="D618" authorId="2" shapeId="0">
      <text>
        <r>
          <rPr>
            <sz val="11"/>
            <color theme="1"/>
            <rFont val="Calibri"/>
            <family val="2"/>
            <scheme val="minor"/>
          </rPr>
          <t>Introduzca un número con dos decimales como máximo. Debe ser igual o mayor a la "Cantidad Real Consumida"</t>
        </r>
      </text>
    </comment>
    <comment ref="E618" authorId="2" shapeId="0">
      <text>
        <r>
          <rPr>
            <sz val="11"/>
            <color theme="1"/>
            <rFont val="Calibri"/>
            <family val="2"/>
            <scheme val="minor"/>
          </rPr>
          <t>Introduzca un número con dos decimales como máximo</t>
        </r>
      </text>
    </comment>
    <comment ref="F618" authorId="2" shapeId="0">
      <text>
        <r>
          <rPr>
            <sz val="11"/>
            <color theme="1"/>
            <rFont val="Calibri"/>
            <family val="2"/>
            <scheme val="minor"/>
          </rPr>
          <t>Monto calculado automáticamente por el sistema</t>
        </r>
      </text>
    </comment>
    <comment ref="A625" authorId="1" shapeId="0">
      <text>
        <r>
          <rPr>
            <sz val="11"/>
            <color theme="1"/>
            <rFont val="Calibri"/>
            <family val="2"/>
            <scheme val="minor"/>
          </rPr>
          <t>Introducir un texto con el nombre o referencia de la contratación</t>
        </r>
      </text>
    </comment>
    <comment ref="B625" authorId="1" shapeId="0">
      <text>
        <r>
          <rPr>
            <sz val="11"/>
            <color theme="1"/>
            <rFont val="Calibri"/>
            <family val="2"/>
            <scheme val="minor"/>
          </rPr>
          <t>Introduzca un texto con la finalidad de la contratación</t>
        </r>
      </text>
    </comment>
    <comment ref="C625" authorId="1" shapeId="0">
      <text>
        <r>
          <rPr>
            <sz val="11"/>
            <color theme="1"/>
            <rFont val="Calibri"/>
            <family val="2"/>
            <scheme val="minor"/>
          </rPr>
          <t>Seleccionar un valor del listado</t>
        </r>
      </text>
    </comment>
    <comment ref="D625" authorId="1" shapeId="0">
      <text>
        <r>
          <rPr>
            <sz val="11"/>
            <color theme="1"/>
            <rFont val="Calibri"/>
            <family val="2"/>
            <scheme val="minor"/>
          </rPr>
          <t>Seleccione el tipo de procedimiento</t>
        </r>
      </text>
    </comment>
    <comment ref="E625" authorId="1" shapeId="0">
      <text>
        <r>
          <rPr>
            <sz val="11"/>
            <color theme="1"/>
            <rFont val="Calibri"/>
            <family val="2"/>
            <scheme val="minor"/>
          </rPr>
          <t>Seleccione un valor de la lista</t>
        </r>
      </text>
    </comment>
    <comment ref="F625" authorId="2" shapeId="0">
      <text>
        <r>
          <rPr>
            <sz val="11"/>
            <color theme="1"/>
            <rFont val="Calibri"/>
            <family val="2"/>
            <scheme val="minor"/>
          </rPr>
          <t>Introduzca el código SNIP</t>
        </r>
      </text>
    </comment>
    <comment ref="C626" authorId="2" shapeId="0">
      <text>
        <r>
          <rPr>
            <sz val="11"/>
            <color theme="1"/>
            <rFont val="Calibri"/>
            <family val="2"/>
            <scheme val="minor"/>
          </rPr>
          <t>Introduzca la fecha de inicio del proceso, en formato dd-mm-aaaa</t>
        </r>
      </text>
    </comment>
    <comment ref="F6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text/>
    </comment>
    <comment ref="C628" authorId="2" shapeId="0">
      <text>
        <r>
          <rPr>
            <sz val="11"/>
            <color theme="1"/>
            <rFont val="Calibri"/>
            <family val="2"/>
            <scheme val="minor"/>
          </rPr>
          <t>Introduzca la fecha prevista de adjudicación, en formato dd-mm-aaaa</t>
        </r>
      </text>
    </comment>
    <comment ref="F628" authorId="2" shapeId="0">
      <text/>
    </comment>
    <comment ref="F629" authorId="2" shapeId="0">
      <text/>
    </comment>
    <comment ref="A631" authorId="2" shapeId="0">
      <text>
        <r>
          <rPr>
            <sz val="11"/>
            <color theme="1"/>
            <rFont val="Calibri"/>
            <family val="2"/>
            <scheme val="minor"/>
          </rPr>
          <t>Introduzca un codigo UNSPSC</t>
        </r>
      </text>
    </comment>
    <comment ref="B631" authorId="2" shapeId="0">
      <text>
        <r>
          <rPr>
            <sz val="11"/>
            <color theme="1"/>
            <rFont val="Calibri"/>
            <family val="2"/>
            <scheme val="minor"/>
          </rPr>
          <t>Descripción calculada automáticamente a partir de código del artículo</t>
        </r>
      </text>
    </comment>
    <comment ref="C631" authorId="2" shapeId="0">
      <text>
        <r>
          <rPr>
            <sz val="11"/>
            <color theme="1"/>
            <rFont val="Calibri"/>
            <family val="2"/>
            <scheme val="minor"/>
          </rPr>
          <t>Seleccione un valor de la lista</t>
        </r>
      </text>
    </comment>
    <comment ref="D631" authorId="2" shapeId="0">
      <text>
        <r>
          <rPr>
            <sz val="11"/>
            <color theme="1"/>
            <rFont val="Calibri"/>
            <family val="2"/>
            <scheme val="minor"/>
          </rPr>
          <t>Introduzca un número con dos decimales como máximo. Debe ser igual o mayor a la "Cantidad Real Consumida"</t>
        </r>
      </text>
    </comment>
    <comment ref="E631" authorId="2" shapeId="0">
      <text>
        <r>
          <rPr>
            <sz val="11"/>
            <color theme="1"/>
            <rFont val="Calibri"/>
            <family val="2"/>
            <scheme val="minor"/>
          </rPr>
          <t>Introduzca un número con dos decimales como máximo</t>
        </r>
      </text>
    </comment>
    <comment ref="F631" authorId="2" shapeId="0">
      <text>
        <r>
          <rPr>
            <sz val="11"/>
            <color theme="1"/>
            <rFont val="Calibri"/>
            <family val="2"/>
            <scheme val="minor"/>
          </rPr>
          <t>Monto calculado automáticamente por el sistema</t>
        </r>
      </text>
    </comment>
    <comment ref="A636" authorId="1" shapeId="0">
      <text>
        <r>
          <rPr>
            <sz val="11"/>
            <color theme="1"/>
            <rFont val="Calibri"/>
            <family val="2"/>
            <scheme val="minor"/>
          </rPr>
          <t>Introducir un texto con el nombre o referencia de la contratación</t>
        </r>
      </text>
    </comment>
    <comment ref="B636" authorId="1" shapeId="0">
      <text>
        <r>
          <rPr>
            <sz val="11"/>
            <color theme="1"/>
            <rFont val="Calibri"/>
            <family val="2"/>
            <scheme val="minor"/>
          </rPr>
          <t>Introduzca un texto con la finalidad de la contratación</t>
        </r>
      </text>
    </comment>
    <comment ref="C636" authorId="1" shapeId="0">
      <text>
        <r>
          <rPr>
            <sz val="11"/>
            <color theme="1"/>
            <rFont val="Calibri"/>
            <family val="2"/>
            <scheme val="minor"/>
          </rPr>
          <t>Seleccionar un valor del listado</t>
        </r>
      </text>
    </comment>
    <comment ref="D636" authorId="1" shapeId="0">
      <text>
        <r>
          <rPr>
            <sz val="11"/>
            <color theme="1"/>
            <rFont val="Calibri"/>
            <family val="2"/>
            <scheme val="minor"/>
          </rPr>
          <t>Seleccione el tipo de procedimiento</t>
        </r>
      </text>
    </comment>
    <comment ref="E636" authorId="1" shapeId="0">
      <text>
        <r>
          <rPr>
            <sz val="11"/>
            <color theme="1"/>
            <rFont val="Calibri"/>
            <family val="2"/>
            <scheme val="minor"/>
          </rPr>
          <t>Seleccione un valor de la lista</t>
        </r>
      </text>
    </comment>
    <comment ref="F636" authorId="2" shapeId="0">
      <text>
        <r>
          <rPr>
            <sz val="11"/>
            <color theme="1"/>
            <rFont val="Calibri"/>
            <family val="2"/>
            <scheme val="minor"/>
          </rPr>
          <t>Introduzca el código SNIP</t>
        </r>
      </text>
    </comment>
    <comment ref="C637" authorId="2" shapeId="0">
      <text>
        <r>
          <rPr>
            <sz val="11"/>
            <color theme="1"/>
            <rFont val="Calibri"/>
            <family val="2"/>
            <scheme val="minor"/>
          </rPr>
          <t>Introduzca la fecha de inicio del proceso, en formato dd-mm-aaaa</t>
        </r>
      </text>
    </comment>
    <comment ref="F6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2" shapeId="0">
      <text/>
    </comment>
    <comment ref="C639" authorId="2" shapeId="0">
      <text>
        <r>
          <rPr>
            <sz val="11"/>
            <color theme="1"/>
            <rFont val="Calibri"/>
            <family val="2"/>
            <scheme val="minor"/>
          </rPr>
          <t>Introduzca la fecha prevista de adjudicación, en formato dd-mm-aaaa</t>
        </r>
      </text>
    </comment>
    <comment ref="F639" authorId="2" shapeId="0">
      <text/>
    </comment>
    <comment ref="F640" authorId="2" shapeId="0">
      <text/>
    </comment>
    <comment ref="A642" authorId="2" shapeId="0">
      <text>
        <r>
          <rPr>
            <sz val="11"/>
            <color theme="1"/>
            <rFont val="Calibri"/>
            <family val="2"/>
            <scheme val="minor"/>
          </rPr>
          <t>Introduzca un codigo UNSPSC</t>
        </r>
      </text>
    </comment>
    <comment ref="B642" authorId="2" shapeId="0">
      <text>
        <r>
          <rPr>
            <sz val="11"/>
            <color theme="1"/>
            <rFont val="Calibri"/>
            <family val="2"/>
            <scheme val="minor"/>
          </rPr>
          <t>Descripción calculada automáticamente a partir de código del artículo</t>
        </r>
      </text>
    </comment>
    <comment ref="C642" authorId="2" shapeId="0">
      <text>
        <r>
          <rPr>
            <sz val="11"/>
            <color theme="1"/>
            <rFont val="Calibri"/>
            <family val="2"/>
            <scheme val="minor"/>
          </rPr>
          <t>Seleccione un valor de la lista</t>
        </r>
      </text>
    </comment>
    <comment ref="D642" authorId="2" shapeId="0">
      <text>
        <r>
          <rPr>
            <sz val="11"/>
            <color theme="1"/>
            <rFont val="Calibri"/>
            <family val="2"/>
            <scheme val="minor"/>
          </rPr>
          <t>Introduzca un número con dos decimales como máximo. Debe ser igual o mayor a la "Cantidad Real Consumida"</t>
        </r>
      </text>
    </comment>
    <comment ref="E642" authorId="2" shapeId="0">
      <text>
        <r>
          <rPr>
            <sz val="11"/>
            <color theme="1"/>
            <rFont val="Calibri"/>
            <family val="2"/>
            <scheme val="minor"/>
          </rPr>
          <t>Introduzca un número con dos decimales como máximo</t>
        </r>
      </text>
    </comment>
    <comment ref="F642" authorId="2" shapeId="0">
      <text>
        <r>
          <rPr>
            <sz val="11"/>
            <color theme="1"/>
            <rFont val="Calibri"/>
            <family val="2"/>
            <scheme val="minor"/>
          </rPr>
          <t>Monto calculado automáticamente por el sistema</t>
        </r>
      </text>
    </comment>
    <comment ref="A647" authorId="1" shapeId="0">
      <text>
        <r>
          <rPr>
            <sz val="11"/>
            <color theme="1"/>
            <rFont val="Calibri"/>
            <family val="2"/>
            <scheme val="minor"/>
          </rPr>
          <t>Introducir un texto con el nombre o referencia de la contratación</t>
        </r>
      </text>
    </comment>
    <comment ref="B647" authorId="1" shapeId="0">
      <text>
        <r>
          <rPr>
            <sz val="11"/>
            <color theme="1"/>
            <rFont val="Calibri"/>
            <family val="2"/>
            <scheme val="minor"/>
          </rPr>
          <t>Introduzca un texto con la finalidad de la contratación</t>
        </r>
      </text>
    </comment>
    <comment ref="C647" authorId="1" shapeId="0">
      <text>
        <r>
          <rPr>
            <sz val="11"/>
            <color theme="1"/>
            <rFont val="Calibri"/>
            <family val="2"/>
            <scheme val="minor"/>
          </rPr>
          <t>Seleccionar un valor del listado</t>
        </r>
      </text>
    </comment>
    <comment ref="D647" authorId="1" shapeId="0">
      <text>
        <r>
          <rPr>
            <sz val="11"/>
            <color theme="1"/>
            <rFont val="Calibri"/>
            <family val="2"/>
            <scheme val="minor"/>
          </rPr>
          <t>Seleccione el tipo de procedimiento</t>
        </r>
      </text>
    </comment>
    <comment ref="E647" authorId="1" shapeId="0">
      <text>
        <r>
          <rPr>
            <sz val="11"/>
            <color theme="1"/>
            <rFont val="Calibri"/>
            <family val="2"/>
            <scheme val="minor"/>
          </rPr>
          <t>Seleccione un valor de la lista</t>
        </r>
      </text>
    </comment>
    <comment ref="F647" authorId="2" shapeId="0">
      <text>
        <r>
          <rPr>
            <sz val="11"/>
            <color theme="1"/>
            <rFont val="Calibri"/>
            <family val="2"/>
            <scheme val="minor"/>
          </rPr>
          <t>Introduzca el código SNIP</t>
        </r>
      </text>
    </comment>
    <comment ref="C648" authorId="2" shapeId="0">
      <text>
        <r>
          <rPr>
            <sz val="11"/>
            <color theme="1"/>
            <rFont val="Calibri"/>
            <family val="2"/>
            <scheme val="minor"/>
          </rPr>
          <t>Introduzca la fecha de inicio del proceso, en formato dd-mm-aaaa</t>
        </r>
      </text>
    </comment>
    <comment ref="F6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2" shapeId="0">
      <text/>
    </comment>
    <comment ref="C650" authorId="2" shapeId="0">
      <text>
        <r>
          <rPr>
            <sz val="11"/>
            <color theme="1"/>
            <rFont val="Calibri"/>
            <family val="2"/>
            <scheme val="minor"/>
          </rPr>
          <t>Introduzca la fecha prevista de adjudicación, en formato dd-mm-aaaa</t>
        </r>
      </text>
    </comment>
    <comment ref="F650" authorId="2" shapeId="0">
      <text/>
    </comment>
    <comment ref="F651" authorId="2" shapeId="0">
      <text/>
    </comment>
    <comment ref="A653" authorId="2" shapeId="0">
      <text>
        <r>
          <rPr>
            <sz val="11"/>
            <color theme="1"/>
            <rFont val="Calibri"/>
            <family val="2"/>
            <scheme val="minor"/>
          </rPr>
          <t>Introduzca un codigo UNSPSC</t>
        </r>
      </text>
    </comment>
    <comment ref="B653" authorId="2" shapeId="0">
      <text>
        <r>
          <rPr>
            <sz val="11"/>
            <color theme="1"/>
            <rFont val="Calibri"/>
            <family val="2"/>
            <scheme val="minor"/>
          </rPr>
          <t>Descripción calculada automáticamente a partir de código del artículo</t>
        </r>
      </text>
    </comment>
    <comment ref="C653" authorId="2" shapeId="0">
      <text>
        <r>
          <rPr>
            <sz val="11"/>
            <color theme="1"/>
            <rFont val="Calibri"/>
            <family val="2"/>
            <scheme val="minor"/>
          </rPr>
          <t>Seleccione un valor de la lista</t>
        </r>
      </text>
    </comment>
    <comment ref="D653" authorId="2" shapeId="0">
      <text>
        <r>
          <rPr>
            <sz val="11"/>
            <color theme="1"/>
            <rFont val="Calibri"/>
            <family val="2"/>
            <scheme val="minor"/>
          </rPr>
          <t>Introduzca un número con dos decimales como máximo. Debe ser igual o mayor a la "Cantidad Real Consumida"</t>
        </r>
      </text>
    </comment>
    <comment ref="E653" authorId="2" shapeId="0">
      <text>
        <r>
          <rPr>
            <sz val="11"/>
            <color theme="1"/>
            <rFont val="Calibri"/>
            <family val="2"/>
            <scheme val="minor"/>
          </rPr>
          <t>Introduzca un número con dos decimales como máximo</t>
        </r>
      </text>
    </comment>
    <comment ref="F653" authorId="2" shapeId="0">
      <text>
        <r>
          <rPr>
            <sz val="11"/>
            <color theme="1"/>
            <rFont val="Calibri"/>
            <family val="2"/>
            <scheme val="minor"/>
          </rPr>
          <t>Monto calculado automáticamente por el sistema</t>
        </r>
      </text>
    </comment>
    <comment ref="A658" authorId="1" shapeId="0">
      <text>
        <r>
          <rPr>
            <sz val="11"/>
            <color theme="1"/>
            <rFont val="Calibri"/>
            <family val="2"/>
            <scheme val="minor"/>
          </rPr>
          <t>Introducir un texto con el nombre o referencia de la contratación</t>
        </r>
      </text>
    </comment>
    <comment ref="B658" authorId="1" shapeId="0">
      <text>
        <r>
          <rPr>
            <sz val="11"/>
            <color theme="1"/>
            <rFont val="Calibri"/>
            <family val="2"/>
            <scheme val="minor"/>
          </rPr>
          <t>Introduzca un texto con la finalidad de la contratación</t>
        </r>
      </text>
    </comment>
    <comment ref="C658" authorId="1" shapeId="0">
      <text>
        <r>
          <rPr>
            <sz val="11"/>
            <color theme="1"/>
            <rFont val="Calibri"/>
            <family val="2"/>
            <scheme val="minor"/>
          </rPr>
          <t>Seleccionar un valor del listado</t>
        </r>
      </text>
    </comment>
    <comment ref="D658" authorId="1" shapeId="0">
      <text>
        <r>
          <rPr>
            <sz val="11"/>
            <color theme="1"/>
            <rFont val="Calibri"/>
            <family val="2"/>
            <scheme val="minor"/>
          </rPr>
          <t>Seleccione el tipo de procedimiento</t>
        </r>
      </text>
    </comment>
    <comment ref="E658" authorId="1" shapeId="0">
      <text>
        <r>
          <rPr>
            <sz val="11"/>
            <color theme="1"/>
            <rFont val="Calibri"/>
            <family val="2"/>
            <scheme val="minor"/>
          </rPr>
          <t>Seleccione un valor de la lista</t>
        </r>
      </text>
    </comment>
    <comment ref="F658" authorId="2" shapeId="0">
      <text>
        <r>
          <rPr>
            <sz val="11"/>
            <color theme="1"/>
            <rFont val="Calibri"/>
            <family val="2"/>
            <scheme val="minor"/>
          </rPr>
          <t>Introduzca el código SNIP</t>
        </r>
      </text>
    </comment>
    <comment ref="C659" authorId="2" shapeId="0">
      <text>
        <r>
          <rPr>
            <sz val="11"/>
            <color theme="1"/>
            <rFont val="Calibri"/>
            <family val="2"/>
            <scheme val="minor"/>
          </rPr>
          <t>Introduzca la fecha de inicio del proceso, en formato dd-mm-aaaa</t>
        </r>
      </text>
    </comment>
    <comment ref="F6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2" shapeId="0">
      <text/>
    </comment>
    <comment ref="C661" authorId="2" shapeId="0">
      <text>
        <r>
          <rPr>
            <sz val="11"/>
            <color theme="1"/>
            <rFont val="Calibri"/>
            <family val="2"/>
            <scheme val="minor"/>
          </rPr>
          <t>Introduzca la fecha prevista de adjudicación, en formato dd-mm-aaaa</t>
        </r>
      </text>
    </comment>
    <comment ref="F661" authorId="2" shapeId="0">
      <text/>
    </comment>
    <comment ref="F662" authorId="2" shapeId="0">
      <text/>
    </comment>
    <comment ref="A664" authorId="2" shapeId="0">
      <text>
        <r>
          <rPr>
            <sz val="11"/>
            <color theme="1"/>
            <rFont val="Calibri"/>
            <family val="2"/>
            <scheme val="minor"/>
          </rPr>
          <t>Introduzca un codigo UNSPSC</t>
        </r>
      </text>
    </comment>
    <comment ref="B664" authorId="2" shapeId="0">
      <text>
        <r>
          <rPr>
            <sz val="11"/>
            <color theme="1"/>
            <rFont val="Calibri"/>
            <family val="2"/>
            <scheme val="minor"/>
          </rPr>
          <t>Descripción calculada automáticamente a partir de código del artículo</t>
        </r>
      </text>
    </comment>
    <comment ref="C664" authorId="2" shapeId="0">
      <text>
        <r>
          <rPr>
            <sz val="11"/>
            <color theme="1"/>
            <rFont val="Calibri"/>
            <family val="2"/>
            <scheme val="minor"/>
          </rPr>
          <t>Seleccione un valor de la lista</t>
        </r>
      </text>
    </comment>
    <comment ref="D664" authorId="2" shapeId="0">
      <text>
        <r>
          <rPr>
            <sz val="11"/>
            <color theme="1"/>
            <rFont val="Calibri"/>
            <family val="2"/>
            <scheme val="minor"/>
          </rPr>
          <t>Introduzca un número con dos decimales como máximo. Debe ser igual o mayor a la "Cantidad Real Consumida"</t>
        </r>
      </text>
    </comment>
    <comment ref="E664" authorId="2" shapeId="0">
      <text>
        <r>
          <rPr>
            <sz val="11"/>
            <color theme="1"/>
            <rFont val="Calibri"/>
            <family val="2"/>
            <scheme val="minor"/>
          </rPr>
          <t>Introduzca un número con dos decimales como máximo</t>
        </r>
      </text>
    </comment>
    <comment ref="F664" authorId="2" shapeId="0">
      <text>
        <r>
          <rPr>
            <sz val="11"/>
            <color theme="1"/>
            <rFont val="Calibri"/>
            <family val="2"/>
            <scheme val="minor"/>
          </rPr>
          <t>Monto calculado automáticamente por el sistema</t>
        </r>
      </text>
    </comment>
    <comment ref="A670" authorId="2" shapeId="0">
      <text>
        <r>
          <rPr>
            <sz val="11"/>
            <color theme="1"/>
            <rFont val="Calibri"/>
            <family val="2"/>
            <scheme val="minor"/>
          </rPr>
          <t>Introducir un texto con el nombre o referencia de la contratación</t>
        </r>
      </text>
    </comment>
    <comment ref="B670" authorId="2" shapeId="0">
      <text>
        <r>
          <rPr>
            <sz val="11"/>
            <color theme="1"/>
            <rFont val="Calibri"/>
            <family val="2"/>
            <scheme val="minor"/>
          </rPr>
          <t>Introduzca un texto con la finalidad de la contratación</t>
        </r>
      </text>
    </comment>
    <comment ref="C670" authorId="2" shapeId="0">
      <text>
        <r>
          <rPr>
            <sz val="11"/>
            <color theme="1"/>
            <rFont val="Calibri"/>
            <family val="2"/>
            <scheme val="minor"/>
          </rPr>
          <t>Seleccionar un valor del listado</t>
        </r>
      </text>
    </comment>
    <comment ref="D670" authorId="2" shapeId="0">
      <text>
        <r>
          <rPr>
            <sz val="11"/>
            <color theme="1"/>
            <rFont val="Calibri"/>
            <family val="2"/>
            <scheme val="minor"/>
          </rPr>
          <t>Seleccione el tipo de procedimiento</t>
        </r>
      </text>
    </comment>
    <comment ref="E670" authorId="2" shapeId="0">
      <text>
        <r>
          <rPr>
            <sz val="11"/>
            <color theme="1"/>
            <rFont val="Calibri"/>
            <family val="2"/>
            <scheme val="minor"/>
          </rPr>
          <t>Seleccione un valor de la lista</t>
        </r>
      </text>
    </comment>
    <comment ref="F670" authorId="2" shapeId="0">
      <text>
        <r>
          <rPr>
            <sz val="11"/>
            <color theme="1"/>
            <rFont val="Calibri"/>
            <family val="2"/>
            <scheme val="minor"/>
          </rPr>
          <t>Introduzca el código SNIP</t>
        </r>
      </text>
    </comment>
    <comment ref="C671" authorId="2" shapeId="0">
      <text>
        <r>
          <rPr>
            <sz val="11"/>
            <color theme="1"/>
            <rFont val="Calibri"/>
            <family val="2"/>
            <scheme val="minor"/>
          </rPr>
          <t>Introduzca la fecha de inicio del proceso, en formato dd-mm-aaaa</t>
        </r>
      </text>
    </comment>
    <comment ref="F6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2" shapeId="0">
      <text/>
    </comment>
    <comment ref="C673" authorId="2" shapeId="0">
      <text>
        <r>
          <rPr>
            <sz val="11"/>
            <color theme="1"/>
            <rFont val="Calibri"/>
            <family val="2"/>
            <scheme val="minor"/>
          </rPr>
          <t>Introduzca la fecha prevista de adjudicación, en formato dd-mm-aaaa</t>
        </r>
      </text>
    </comment>
    <comment ref="F673" authorId="2" shapeId="0">
      <text/>
    </comment>
    <comment ref="F674" authorId="2" shapeId="0">
      <text/>
    </comment>
    <comment ref="A676" authorId="2" shapeId="0">
      <text>
        <r>
          <rPr>
            <sz val="11"/>
            <color theme="1"/>
            <rFont val="Calibri"/>
            <family val="2"/>
            <scheme val="minor"/>
          </rPr>
          <t>Introduzca un codigo UNSPSC</t>
        </r>
      </text>
    </comment>
    <comment ref="B676" authorId="2" shapeId="0">
      <text>
        <r>
          <rPr>
            <sz val="11"/>
            <color theme="1"/>
            <rFont val="Calibri"/>
            <family val="2"/>
            <scheme val="minor"/>
          </rPr>
          <t>Descripción calculada automáticamente a partir de código del artículo</t>
        </r>
      </text>
    </comment>
    <comment ref="C676" authorId="2" shapeId="0">
      <text>
        <r>
          <rPr>
            <sz val="11"/>
            <color theme="1"/>
            <rFont val="Calibri"/>
            <family val="2"/>
            <scheme val="minor"/>
          </rPr>
          <t>Seleccione un valor de la lista</t>
        </r>
      </text>
    </comment>
    <comment ref="D676" authorId="2" shapeId="0">
      <text>
        <r>
          <rPr>
            <sz val="11"/>
            <color theme="1"/>
            <rFont val="Calibri"/>
            <family val="2"/>
            <scheme val="minor"/>
          </rPr>
          <t>Introduzca un número con dos decimales como máximo. Debe ser igual o mayor a la "Cantidad Real Consumida"</t>
        </r>
      </text>
    </comment>
    <comment ref="E676" authorId="2" shapeId="0">
      <text>
        <r>
          <rPr>
            <sz val="11"/>
            <color theme="1"/>
            <rFont val="Calibri"/>
            <family val="2"/>
            <scheme val="minor"/>
          </rPr>
          <t>Introduzca un número con dos decimales como máximo</t>
        </r>
      </text>
    </comment>
    <comment ref="F676" authorId="2" shapeId="0">
      <text>
        <r>
          <rPr>
            <sz val="11"/>
            <color theme="1"/>
            <rFont val="Calibri"/>
            <family val="2"/>
            <scheme val="minor"/>
          </rPr>
          <t>Monto calculado automáticamente por el sistema</t>
        </r>
      </text>
    </comment>
    <comment ref="A681" authorId="2" shapeId="0">
      <text>
        <r>
          <rPr>
            <sz val="11"/>
            <color theme="1"/>
            <rFont val="Calibri"/>
            <family val="2"/>
            <scheme val="minor"/>
          </rPr>
          <t>Introducir un texto con el nombre o referencia de la contratación</t>
        </r>
      </text>
    </comment>
    <comment ref="B681" authorId="2" shapeId="0">
      <text>
        <r>
          <rPr>
            <sz val="11"/>
            <color theme="1"/>
            <rFont val="Calibri"/>
            <family val="2"/>
            <scheme val="minor"/>
          </rPr>
          <t>Introduzca un texto con la finalidad de la contratación</t>
        </r>
      </text>
    </comment>
    <comment ref="C681" authorId="2" shapeId="0">
      <text>
        <r>
          <rPr>
            <sz val="11"/>
            <color theme="1"/>
            <rFont val="Calibri"/>
            <family val="2"/>
            <scheme val="minor"/>
          </rPr>
          <t>Seleccionar un valor del listado</t>
        </r>
      </text>
    </comment>
    <comment ref="D681" authorId="2" shapeId="0">
      <text>
        <r>
          <rPr>
            <sz val="11"/>
            <color theme="1"/>
            <rFont val="Calibri"/>
            <family val="2"/>
            <scheme val="minor"/>
          </rPr>
          <t>Seleccione el tipo de procedimiento</t>
        </r>
      </text>
    </comment>
    <comment ref="E681" authorId="2" shapeId="0">
      <text>
        <r>
          <rPr>
            <sz val="11"/>
            <color theme="1"/>
            <rFont val="Calibri"/>
            <family val="2"/>
            <scheme val="minor"/>
          </rPr>
          <t>Seleccione un valor de la lista</t>
        </r>
      </text>
    </comment>
    <comment ref="F681" authorId="2" shapeId="0">
      <text>
        <r>
          <rPr>
            <sz val="11"/>
            <color theme="1"/>
            <rFont val="Calibri"/>
            <family val="2"/>
            <scheme val="minor"/>
          </rPr>
          <t>Introduzca el código SNIP</t>
        </r>
      </text>
    </comment>
    <comment ref="C682" authorId="2" shapeId="0">
      <text>
        <r>
          <rPr>
            <sz val="11"/>
            <color theme="1"/>
            <rFont val="Calibri"/>
            <family val="2"/>
            <scheme val="minor"/>
          </rPr>
          <t>Introduzca la fecha de inicio del proceso, en formato dd-mm-aaaa</t>
        </r>
      </text>
    </comment>
    <comment ref="F6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2" shapeId="0">
      <text/>
    </comment>
    <comment ref="C684" authorId="2" shapeId="0">
      <text>
        <r>
          <rPr>
            <sz val="11"/>
            <color theme="1"/>
            <rFont val="Calibri"/>
            <family val="2"/>
            <scheme val="minor"/>
          </rPr>
          <t>Introduzca la fecha prevista de adjudicación, en formato dd-mm-aaaa</t>
        </r>
      </text>
    </comment>
    <comment ref="F684" authorId="2" shapeId="0">
      <text/>
    </comment>
    <comment ref="F685" authorId="2" shapeId="0">
      <text/>
    </comment>
    <comment ref="A687" authorId="2" shapeId="0">
      <text>
        <r>
          <rPr>
            <sz val="11"/>
            <color theme="1"/>
            <rFont val="Calibri"/>
            <family val="2"/>
            <scheme val="minor"/>
          </rPr>
          <t>Introduzca un codigo UNSPSC</t>
        </r>
      </text>
    </comment>
    <comment ref="B687" authorId="2" shapeId="0">
      <text>
        <r>
          <rPr>
            <sz val="11"/>
            <color theme="1"/>
            <rFont val="Calibri"/>
            <family val="2"/>
            <scheme val="minor"/>
          </rPr>
          <t>Descripción calculada automáticamente a partir de código del artículo</t>
        </r>
      </text>
    </comment>
    <comment ref="C687" authorId="2" shapeId="0">
      <text>
        <r>
          <rPr>
            <sz val="11"/>
            <color theme="1"/>
            <rFont val="Calibri"/>
            <family val="2"/>
            <scheme val="minor"/>
          </rPr>
          <t>Seleccione un valor de la lista</t>
        </r>
      </text>
    </comment>
    <comment ref="D687" authorId="2" shapeId="0">
      <text>
        <r>
          <rPr>
            <sz val="11"/>
            <color theme="1"/>
            <rFont val="Calibri"/>
            <family val="2"/>
            <scheme val="minor"/>
          </rPr>
          <t>Introduzca un número con dos decimales como máximo. Debe ser igual o mayor a la "Cantidad Real Consumida"</t>
        </r>
      </text>
    </comment>
    <comment ref="E687" authorId="2" shapeId="0">
      <text>
        <r>
          <rPr>
            <sz val="11"/>
            <color theme="1"/>
            <rFont val="Calibri"/>
            <family val="2"/>
            <scheme val="minor"/>
          </rPr>
          <t>Introduzca un número con dos decimales como máximo</t>
        </r>
      </text>
    </comment>
    <comment ref="F687" authorId="2" shapeId="0">
      <text>
        <r>
          <rPr>
            <sz val="11"/>
            <color theme="1"/>
            <rFont val="Calibri"/>
            <family val="2"/>
            <scheme val="minor"/>
          </rPr>
          <t>Monto calculado automáticamente por el sistema</t>
        </r>
      </text>
    </comment>
    <comment ref="A692" authorId="1" shapeId="0">
      <text>
        <r>
          <rPr>
            <sz val="11"/>
            <color theme="1"/>
            <rFont val="Calibri"/>
            <family val="2"/>
            <scheme val="minor"/>
          </rPr>
          <t>Introducir un texto con el nombre o referencia de la contratación</t>
        </r>
      </text>
    </comment>
    <comment ref="B692" authorId="1" shapeId="0">
      <text>
        <r>
          <rPr>
            <sz val="11"/>
            <color theme="1"/>
            <rFont val="Calibri"/>
            <family val="2"/>
            <scheme val="minor"/>
          </rPr>
          <t>Introduzca un texto con la finalidad de la contratación</t>
        </r>
      </text>
    </comment>
    <comment ref="C692" authorId="1" shapeId="0">
      <text>
        <r>
          <rPr>
            <sz val="11"/>
            <color theme="1"/>
            <rFont val="Calibri"/>
            <family val="2"/>
            <scheme val="minor"/>
          </rPr>
          <t>Seleccionar un valor del listado</t>
        </r>
      </text>
    </comment>
    <comment ref="D692" authorId="1" shapeId="0">
      <text>
        <r>
          <rPr>
            <sz val="11"/>
            <color theme="1"/>
            <rFont val="Calibri"/>
            <family val="2"/>
            <scheme val="minor"/>
          </rPr>
          <t>Seleccione el tipo de procedimiento</t>
        </r>
      </text>
    </comment>
    <comment ref="E692" authorId="1" shapeId="0">
      <text>
        <r>
          <rPr>
            <sz val="11"/>
            <color theme="1"/>
            <rFont val="Calibri"/>
            <family val="2"/>
            <scheme val="minor"/>
          </rPr>
          <t>Seleccione un valor de la lista</t>
        </r>
      </text>
    </comment>
    <comment ref="F692" authorId="2" shapeId="0">
      <text>
        <r>
          <rPr>
            <sz val="11"/>
            <color theme="1"/>
            <rFont val="Calibri"/>
            <family val="2"/>
            <scheme val="minor"/>
          </rPr>
          <t>Introduzca el código SNIP</t>
        </r>
      </text>
    </comment>
    <comment ref="C693" authorId="2" shapeId="0">
      <text>
        <r>
          <rPr>
            <sz val="11"/>
            <color theme="1"/>
            <rFont val="Calibri"/>
            <family val="2"/>
            <scheme val="minor"/>
          </rPr>
          <t>Introduzca la fecha de inicio del proceso, en formato dd-mm-aaaa</t>
        </r>
      </text>
    </comment>
    <comment ref="F6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2" shapeId="0">
      <text/>
    </comment>
    <comment ref="C695" authorId="2" shapeId="0">
      <text>
        <r>
          <rPr>
            <sz val="11"/>
            <color theme="1"/>
            <rFont val="Calibri"/>
            <family val="2"/>
            <scheme val="minor"/>
          </rPr>
          <t>Introduzca la fecha prevista de adjudicación, en formato dd-mm-aaaa</t>
        </r>
      </text>
    </comment>
    <comment ref="F695" authorId="2" shapeId="0">
      <text/>
    </comment>
    <comment ref="F696" authorId="2" shapeId="0">
      <text/>
    </comment>
    <comment ref="A698" authorId="2" shapeId="0">
      <text>
        <r>
          <rPr>
            <sz val="11"/>
            <color theme="1"/>
            <rFont val="Calibri"/>
            <family val="2"/>
            <scheme val="minor"/>
          </rPr>
          <t>Introduzca un codigo UNSPSC</t>
        </r>
      </text>
    </comment>
    <comment ref="B698" authorId="2" shapeId="0">
      <text>
        <r>
          <rPr>
            <sz val="11"/>
            <color theme="1"/>
            <rFont val="Calibri"/>
            <family val="2"/>
            <scheme val="minor"/>
          </rPr>
          <t>Descripción calculada automáticamente a partir de código del artículo</t>
        </r>
      </text>
    </comment>
    <comment ref="C698" authorId="2" shapeId="0">
      <text>
        <r>
          <rPr>
            <sz val="11"/>
            <color theme="1"/>
            <rFont val="Calibri"/>
            <family val="2"/>
            <scheme val="minor"/>
          </rPr>
          <t>Seleccione un valor de la lista</t>
        </r>
      </text>
    </comment>
    <comment ref="D698" authorId="2" shapeId="0">
      <text>
        <r>
          <rPr>
            <sz val="11"/>
            <color theme="1"/>
            <rFont val="Calibri"/>
            <family val="2"/>
            <scheme val="minor"/>
          </rPr>
          <t>Introduzca un número con dos decimales como máximo. Debe ser igual o mayor a la "Cantidad Real Consumida"</t>
        </r>
      </text>
    </comment>
    <comment ref="E698" authorId="2" shapeId="0">
      <text>
        <r>
          <rPr>
            <sz val="11"/>
            <color theme="1"/>
            <rFont val="Calibri"/>
            <family val="2"/>
            <scheme val="minor"/>
          </rPr>
          <t>Introduzca un número con dos decimales como máximo</t>
        </r>
      </text>
    </comment>
    <comment ref="F698" authorId="2" shapeId="0">
      <text>
        <r>
          <rPr>
            <sz val="11"/>
            <color theme="1"/>
            <rFont val="Calibri"/>
            <family val="2"/>
            <scheme val="minor"/>
          </rPr>
          <t>Monto calculado automáticamente por el sistema</t>
        </r>
      </text>
    </comment>
    <comment ref="A705" authorId="1" shapeId="0">
      <text>
        <r>
          <rPr>
            <sz val="11"/>
            <color theme="1"/>
            <rFont val="Calibri"/>
            <family val="2"/>
            <scheme val="minor"/>
          </rPr>
          <t>Introducir un texto con el nombre o referencia de la contratación</t>
        </r>
      </text>
    </comment>
    <comment ref="B705" authorId="1" shapeId="0">
      <text>
        <r>
          <rPr>
            <sz val="11"/>
            <color theme="1"/>
            <rFont val="Calibri"/>
            <family val="2"/>
            <scheme val="minor"/>
          </rPr>
          <t>Introduzca un texto con la finalidad de la contratación</t>
        </r>
      </text>
    </comment>
    <comment ref="C705" authorId="1" shapeId="0">
      <text>
        <r>
          <rPr>
            <sz val="11"/>
            <color theme="1"/>
            <rFont val="Calibri"/>
            <family val="2"/>
            <scheme val="minor"/>
          </rPr>
          <t>Seleccionar un valor del listado</t>
        </r>
      </text>
    </comment>
    <comment ref="D705" authorId="1" shapeId="0">
      <text>
        <r>
          <rPr>
            <sz val="11"/>
            <color theme="1"/>
            <rFont val="Calibri"/>
            <family val="2"/>
            <scheme val="minor"/>
          </rPr>
          <t>Seleccione el tipo de procedimiento</t>
        </r>
      </text>
    </comment>
    <comment ref="E705" authorId="1" shapeId="0">
      <text>
        <r>
          <rPr>
            <sz val="11"/>
            <color theme="1"/>
            <rFont val="Calibri"/>
            <family val="2"/>
            <scheme val="minor"/>
          </rPr>
          <t>Seleccione un valor de la lista</t>
        </r>
      </text>
    </comment>
    <comment ref="F705" authorId="2" shapeId="0">
      <text>
        <r>
          <rPr>
            <sz val="11"/>
            <color theme="1"/>
            <rFont val="Calibri"/>
            <family val="2"/>
            <scheme val="minor"/>
          </rPr>
          <t>Introduzca el código SNIP</t>
        </r>
      </text>
    </comment>
    <comment ref="C706" authorId="2" shapeId="0">
      <text>
        <r>
          <rPr>
            <sz val="11"/>
            <color theme="1"/>
            <rFont val="Calibri"/>
            <family val="2"/>
            <scheme val="minor"/>
          </rPr>
          <t>Introduzca la fecha de inicio del proceso, en formato dd-mm-aaaa</t>
        </r>
      </text>
    </comment>
    <comment ref="F7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 authorId="2" shapeId="0">
      <text/>
    </comment>
    <comment ref="C708" authorId="2" shapeId="0">
      <text>
        <r>
          <rPr>
            <sz val="11"/>
            <color theme="1"/>
            <rFont val="Calibri"/>
            <family val="2"/>
            <scheme val="minor"/>
          </rPr>
          <t>Introduzca la fecha prevista de adjudicación, en formato dd-mm-aaaa</t>
        </r>
      </text>
    </comment>
    <comment ref="F708" authorId="2" shapeId="0">
      <text/>
    </comment>
    <comment ref="F709" authorId="2" shapeId="0">
      <text/>
    </comment>
    <comment ref="A711" authorId="2" shapeId="0">
      <text>
        <r>
          <rPr>
            <sz val="11"/>
            <color theme="1"/>
            <rFont val="Calibri"/>
            <family val="2"/>
            <scheme val="minor"/>
          </rPr>
          <t>Introduzca un codigo UNSPSC</t>
        </r>
      </text>
    </comment>
    <comment ref="B711" authorId="2" shapeId="0">
      <text>
        <r>
          <rPr>
            <sz val="11"/>
            <color theme="1"/>
            <rFont val="Calibri"/>
            <family val="2"/>
            <scheme val="minor"/>
          </rPr>
          <t>Descripción calculada automáticamente a partir de código del artículo</t>
        </r>
      </text>
    </comment>
    <comment ref="C711" authorId="2" shapeId="0">
      <text>
        <r>
          <rPr>
            <sz val="11"/>
            <color theme="1"/>
            <rFont val="Calibri"/>
            <family val="2"/>
            <scheme val="minor"/>
          </rPr>
          <t>Seleccione un valor de la lista</t>
        </r>
      </text>
    </comment>
    <comment ref="D711" authorId="2" shapeId="0">
      <text>
        <r>
          <rPr>
            <sz val="11"/>
            <color theme="1"/>
            <rFont val="Calibri"/>
            <family val="2"/>
            <scheme val="minor"/>
          </rPr>
          <t>Introduzca un número con dos decimales como máximo. Debe ser igual o mayor a la "Cantidad Real Consumida"</t>
        </r>
      </text>
    </comment>
    <comment ref="E711" authorId="2" shapeId="0">
      <text>
        <r>
          <rPr>
            <sz val="11"/>
            <color theme="1"/>
            <rFont val="Calibri"/>
            <family val="2"/>
            <scheme val="minor"/>
          </rPr>
          <t>Introduzca un número con dos decimales como máximo</t>
        </r>
      </text>
    </comment>
    <comment ref="F711" authorId="2" shapeId="0">
      <text>
        <r>
          <rPr>
            <sz val="11"/>
            <color theme="1"/>
            <rFont val="Calibri"/>
            <family val="2"/>
            <scheme val="minor"/>
          </rPr>
          <t>Monto calculado automáticamente por el sistema</t>
        </r>
      </text>
    </comment>
    <comment ref="A720" authorId="1" shapeId="0">
      <text>
        <r>
          <rPr>
            <sz val="11"/>
            <color theme="1"/>
            <rFont val="Calibri"/>
            <family val="2"/>
            <scheme val="minor"/>
          </rPr>
          <t>Introducir un texto con el nombre o referencia de la contratación</t>
        </r>
      </text>
    </comment>
    <comment ref="B720" authorId="1" shapeId="0">
      <text>
        <r>
          <rPr>
            <sz val="11"/>
            <color theme="1"/>
            <rFont val="Calibri"/>
            <family val="2"/>
            <scheme val="minor"/>
          </rPr>
          <t>Introduzca un texto con la finalidad de la contratación</t>
        </r>
      </text>
    </comment>
    <comment ref="C720" authorId="1" shapeId="0">
      <text>
        <r>
          <rPr>
            <sz val="11"/>
            <color theme="1"/>
            <rFont val="Calibri"/>
            <family val="2"/>
            <scheme val="minor"/>
          </rPr>
          <t>Seleccionar un valor del listado</t>
        </r>
      </text>
    </comment>
    <comment ref="D720" authorId="1" shapeId="0">
      <text>
        <r>
          <rPr>
            <sz val="11"/>
            <color theme="1"/>
            <rFont val="Calibri"/>
            <family val="2"/>
            <scheme val="minor"/>
          </rPr>
          <t>Seleccione el tipo de procedimiento</t>
        </r>
      </text>
    </comment>
    <comment ref="E720" authorId="1" shapeId="0">
      <text>
        <r>
          <rPr>
            <sz val="11"/>
            <color theme="1"/>
            <rFont val="Calibri"/>
            <family val="2"/>
            <scheme val="minor"/>
          </rPr>
          <t>Seleccione un valor de la lista</t>
        </r>
      </text>
    </comment>
    <comment ref="F720" authorId="2" shapeId="0">
      <text>
        <r>
          <rPr>
            <sz val="11"/>
            <color theme="1"/>
            <rFont val="Calibri"/>
            <family val="2"/>
            <scheme val="minor"/>
          </rPr>
          <t>Introduzca el código SNIP</t>
        </r>
      </text>
    </comment>
    <comment ref="C721" authorId="2" shapeId="0">
      <text>
        <r>
          <rPr>
            <sz val="11"/>
            <color theme="1"/>
            <rFont val="Calibri"/>
            <family val="2"/>
            <scheme val="minor"/>
          </rPr>
          <t>Introduzca la fecha de inicio del proceso, en formato dd-mm-aaaa</t>
        </r>
      </text>
    </comment>
    <comment ref="F7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2" shapeId="0">
      <text/>
    </comment>
    <comment ref="C723" authorId="2" shapeId="0">
      <text>
        <r>
          <rPr>
            <sz val="11"/>
            <color theme="1"/>
            <rFont val="Calibri"/>
            <family val="2"/>
            <scheme val="minor"/>
          </rPr>
          <t>Introduzca la fecha prevista de adjudicación, en formato dd-mm-aaaa</t>
        </r>
      </text>
    </comment>
    <comment ref="F723" authorId="2" shapeId="0">
      <text/>
    </comment>
    <comment ref="F724" authorId="2" shapeId="0">
      <text/>
    </comment>
    <comment ref="A726" authorId="2" shapeId="0">
      <text>
        <r>
          <rPr>
            <sz val="11"/>
            <color theme="1"/>
            <rFont val="Calibri"/>
            <family val="2"/>
            <scheme val="minor"/>
          </rPr>
          <t>Introduzca un codigo UNSPSC</t>
        </r>
      </text>
    </comment>
    <comment ref="B726" authorId="2" shapeId="0">
      <text>
        <r>
          <rPr>
            <sz val="11"/>
            <color theme="1"/>
            <rFont val="Calibri"/>
            <family val="2"/>
            <scheme val="minor"/>
          </rPr>
          <t>Descripción calculada automáticamente a partir de código del artículo</t>
        </r>
      </text>
    </comment>
    <comment ref="C726" authorId="2" shapeId="0">
      <text>
        <r>
          <rPr>
            <sz val="11"/>
            <color theme="1"/>
            <rFont val="Calibri"/>
            <family val="2"/>
            <scheme val="minor"/>
          </rPr>
          <t>Seleccione un valor de la lista</t>
        </r>
      </text>
    </comment>
    <comment ref="D726" authorId="2" shapeId="0">
      <text>
        <r>
          <rPr>
            <sz val="11"/>
            <color theme="1"/>
            <rFont val="Calibri"/>
            <family val="2"/>
            <scheme val="minor"/>
          </rPr>
          <t>Introduzca un número con dos decimales como máximo. Debe ser igual o mayor a la "Cantidad Real Consumida"</t>
        </r>
      </text>
    </comment>
    <comment ref="E726" authorId="2" shapeId="0">
      <text>
        <r>
          <rPr>
            <sz val="11"/>
            <color theme="1"/>
            <rFont val="Calibri"/>
            <family val="2"/>
            <scheme val="minor"/>
          </rPr>
          <t>Introduzca un número con dos decimales como máximo</t>
        </r>
      </text>
    </comment>
    <comment ref="F726" authorId="2" shapeId="0">
      <text>
        <r>
          <rPr>
            <sz val="11"/>
            <color theme="1"/>
            <rFont val="Calibri"/>
            <family val="2"/>
            <scheme val="minor"/>
          </rPr>
          <t>Monto calculado automáticamente por el sistema</t>
        </r>
      </text>
    </comment>
    <comment ref="A742" authorId="1" shapeId="0">
      <text>
        <r>
          <rPr>
            <sz val="11"/>
            <color theme="1"/>
            <rFont val="Calibri"/>
            <family val="2"/>
            <scheme val="minor"/>
          </rPr>
          <t>Introducir un texto con el nombre o referencia de la contratación</t>
        </r>
      </text>
    </comment>
    <comment ref="B742" authorId="1" shapeId="0">
      <text>
        <r>
          <rPr>
            <sz val="11"/>
            <color theme="1"/>
            <rFont val="Calibri"/>
            <family val="2"/>
            <scheme val="minor"/>
          </rPr>
          <t>Introduzca un texto con la finalidad de la contratación</t>
        </r>
      </text>
    </comment>
    <comment ref="C742" authorId="1" shapeId="0">
      <text>
        <r>
          <rPr>
            <sz val="11"/>
            <color theme="1"/>
            <rFont val="Calibri"/>
            <family val="2"/>
            <scheme val="minor"/>
          </rPr>
          <t>Seleccionar un valor del listado</t>
        </r>
      </text>
    </comment>
    <comment ref="D742" authorId="1" shapeId="0">
      <text>
        <r>
          <rPr>
            <sz val="11"/>
            <color theme="1"/>
            <rFont val="Calibri"/>
            <family val="2"/>
            <scheme val="minor"/>
          </rPr>
          <t>Seleccione el tipo de procedimiento</t>
        </r>
      </text>
    </comment>
    <comment ref="E742" authorId="1" shapeId="0">
      <text>
        <r>
          <rPr>
            <sz val="11"/>
            <color theme="1"/>
            <rFont val="Calibri"/>
            <family val="2"/>
            <scheme val="minor"/>
          </rPr>
          <t>Seleccione un valor de la lista</t>
        </r>
      </text>
    </comment>
    <comment ref="F742" authorId="2" shapeId="0">
      <text>
        <r>
          <rPr>
            <sz val="11"/>
            <color theme="1"/>
            <rFont val="Calibri"/>
            <family val="2"/>
            <scheme val="minor"/>
          </rPr>
          <t>Introduzca el código SNIP</t>
        </r>
      </text>
    </comment>
    <comment ref="C743" authorId="2" shapeId="0">
      <text>
        <r>
          <rPr>
            <sz val="11"/>
            <color theme="1"/>
            <rFont val="Calibri"/>
            <family val="2"/>
            <scheme val="minor"/>
          </rPr>
          <t>Introduzca la fecha de inicio del proceso, en formato dd-mm-aaaa</t>
        </r>
      </text>
    </comment>
    <comment ref="F7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text/>
    </comment>
    <comment ref="C745" authorId="2" shapeId="0">
      <text>
        <r>
          <rPr>
            <sz val="11"/>
            <color theme="1"/>
            <rFont val="Calibri"/>
            <family val="2"/>
            <scheme val="minor"/>
          </rPr>
          <t>Introduzca la fecha prevista de adjudicación, en formato dd-mm-aaaa</t>
        </r>
      </text>
    </comment>
    <comment ref="F745" authorId="2" shapeId="0">
      <text/>
    </comment>
    <comment ref="F746" authorId="2" shapeId="0">
      <text/>
    </comment>
    <comment ref="A748" authorId="2" shapeId="0">
      <text>
        <r>
          <rPr>
            <sz val="11"/>
            <color theme="1"/>
            <rFont val="Calibri"/>
            <family val="2"/>
            <scheme val="minor"/>
          </rPr>
          <t>Introduzca un codigo UNSPSC</t>
        </r>
      </text>
    </comment>
    <comment ref="B748" authorId="2" shapeId="0">
      <text>
        <r>
          <rPr>
            <sz val="11"/>
            <color theme="1"/>
            <rFont val="Calibri"/>
            <family val="2"/>
            <scheme val="minor"/>
          </rPr>
          <t>Descripción calculada automáticamente a partir de código del artículo</t>
        </r>
      </text>
    </comment>
    <comment ref="C748" authorId="2" shapeId="0">
      <text>
        <r>
          <rPr>
            <sz val="11"/>
            <color theme="1"/>
            <rFont val="Calibri"/>
            <family val="2"/>
            <scheme val="minor"/>
          </rPr>
          <t>Seleccione un valor de la lista</t>
        </r>
      </text>
    </comment>
    <comment ref="D748" authorId="2" shapeId="0">
      <text>
        <r>
          <rPr>
            <sz val="11"/>
            <color theme="1"/>
            <rFont val="Calibri"/>
            <family val="2"/>
            <scheme val="minor"/>
          </rPr>
          <t>Introduzca un número con dos decimales como máximo. Debe ser igual o mayor a la "Cantidad Real Consumida"</t>
        </r>
      </text>
    </comment>
    <comment ref="E748" authorId="2" shapeId="0">
      <text>
        <r>
          <rPr>
            <sz val="11"/>
            <color theme="1"/>
            <rFont val="Calibri"/>
            <family val="2"/>
            <scheme val="minor"/>
          </rPr>
          <t>Introduzca un número con dos decimales como máximo</t>
        </r>
      </text>
    </comment>
    <comment ref="F748" authorId="2" shapeId="0">
      <text>
        <r>
          <rPr>
            <sz val="11"/>
            <color theme="1"/>
            <rFont val="Calibri"/>
            <family val="2"/>
            <scheme val="minor"/>
          </rPr>
          <t>Monto calculado automáticamente por el sistema</t>
        </r>
      </text>
    </comment>
    <comment ref="A755" authorId="1" shapeId="0">
      <text>
        <r>
          <rPr>
            <sz val="11"/>
            <color theme="1"/>
            <rFont val="Calibri"/>
            <family val="2"/>
            <scheme val="minor"/>
          </rPr>
          <t>Introducir un texto con el nombre o referencia de la contratación</t>
        </r>
      </text>
    </comment>
    <comment ref="B755" authorId="1" shapeId="0">
      <text>
        <r>
          <rPr>
            <sz val="11"/>
            <color theme="1"/>
            <rFont val="Calibri"/>
            <family val="2"/>
            <scheme val="minor"/>
          </rPr>
          <t>Introduzca un texto con la finalidad de la contratación</t>
        </r>
      </text>
    </comment>
    <comment ref="C755" authorId="1" shapeId="0">
      <text>
        <r>
          <rPr>
            <sz val="11"/>
            <color theme="1"/>
            <rFont val="Calibri"/>
            <family val="2"/>
            <scheme val="minor"/>
          </rPr>
          <t>Seleccionar un valor del listado</t>
        </r>
      </text>
    </comment>
    <comment ref="D755" authorId="1" shapeId="0">
      <text>
        <r>
          <rPr>
            <sz val="11"/>
            <color theme="1"/>
            <rFont val="Calibri"/>
            <family val="2"/>
            <scheme val="minor"/>
          </rPr>
          <t>Seleccione el tipo de procedimiento</t>
        </r>
      </text>
    </comment>
    <comment ref="E755" authorId="1" shapeId="0">
      <text>
        <r>
          <rPr>
            <sz val="11"/>
            <color theme="1"/>
            <rFont val="Calibri"/>
            <family val="2"/>
            <scheme val="minor"/>
          </rPr>
          <t>Seleccione un valor de la lista</t>
        </r>
      </text>
    </comment>
    <comment ref="F755" authorId="2" shapeId="0">
      <text>
        <r>
          <rPr>
            <sz val="11"/>
            <color theme="1"/>
            <rFont val="Calibri"/>
            <family val="2"/>
            <scheme val="minor"/>
          </rPr>
          <t>Introduzca el código SNIP</t>
        </r>
      </text>
    </comment>
    <comment ref="C756" authorId="2" shapeId="0">
      <text>
        <r>
          <rPr>
            <sz val="11"/>
            <color theme="1"/>
            <rFont val="Calibri"/>
            <family val="2"/>
            <scheme val="minor"/>
          </rPr>
          <t>Introduzca la fecha de inicio del proceso, en formato dd-mm-aaaa</t>
        </r>
      </text>
    </comment>
    <comment ref="F7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2" shapeId="0">
      <text/>
    </comment>
    <comment ref="C758" authorId="2" shapeId="0">
      <text>
        <r>
          <rPr>
            <sz val="11"/>
            <color theme="1"/>
            <rFont val="Calibri"/>
            <family val="2"/>
            <scheme val="minor"/>
          </rPr>
          <t>Introduzca la fecha prevista de adjudicación, en formato dd-mm-aaaa</t>
        </r>
      </text>
    </comment>
    <comment ref="F758" authorId="2" shapeId="0">
      <text/>
    </comment>
    <comment ref="F759" authorId="2" shapeId="0">
      <text/>
    </comment>
    <comment ref="A761" authorId="2" shapeId="0">
      <text>
        <r>
          <rPr>
            <sz val="11"/>
            <color theme="1"/>
            <rFont val="Calibri"/>
            <family val="2"/>
            <scheme val="minor"/>
          </rPr>
          <t>Introduzca un codigo UNSPSC</t>
        </r>
      </text>
    </comment>
    <comment ref="B761" authorId="2" shapeId="0">
      <text>
        <r>
          <rPr>
            <sz val="11"/>
            <color theme="1"/>
            <rFont val="Calibri"/>
            <family val="2"/>
            <scheme val="minor"/>
          </rPr>
          <t>Descripción calculada automáticamente a partir de código del artículo</t>
        </r>
      </text>
    </comment>
    <comment ref="C761" authorId="2" shapeId="0">
      <text>
        <r>
          <rPr>
            <sz val="11"/>
            <color theme="1"/>
            <rFont val="Calibri"/>
            <family val="2"/>
            <scheme val="minor"/>
          </rPr>
          <t>Seleccione un valor de la lista</t>
        </r>
      </text>
    </comment>
    <comment ref="D761" authorId="2" shapeId="0">
      <text>
        <r>
          <rPr>
            <sz val="11"/>
            <color theme="1"/>
            <rFont val="Calibri"/>
            <family val="2"/>
            <scheme val="minor"/>
          </rPr>
          <t>Introduzca un número con dos decimales como máximo. Debe ser igual o mayor a la "Cantidad Real Consumida"</t>
        </r>
      </text>
    </comment>
    <comment ref="E761" authorId="2" shapeId="0">
      <text>
        <r>
          <rPr>
            <sz val="11"/>
            <color theme="1"/>
            <rFont val="Calibri"/>
            <family val="2"/>
            <scheme val="minor"/>
          </rPr>
          <t>Introduzca un número con dos decimales como máximo</t>
        </r>
      </text>
    </comment>
    <comment ref="F761" authorId="2" shapeId="0">
      <text>
        <r>
          <rPr>
            <sz val="11"/>
            <color theme="1"/>
            <rFont val="Calibri"/>
            <family val="2"/>
            <scheme val="minor"/>
          </rPr>
          <t>Monto calculado automáticamente por el sistema</t>
        </r>
      </text>
    </comment>
    <comment ref="A766" authorId="1" shapeId="0">
      <text>
        <r>
          <rPr>
            <sz val="11"/>
            <color theme="1"/>
            <rFont val="Calibri"/>
            <family val="2"/>
            <scheme val="minor"/>
          </rPr>
          <t>Introducir un texto con el nombre o referencia de la contratación</t>
        </r>
      </text>
    </comment>
    <comment ref="B766" authorId="1" shapeId="0">
      <text>
        <r>
          <rPr>
            <sz val="11"/>
            <color theme="1"/>
            <rFont val="Calibri"/>
            <family val="2"/>
            <scheme val="minor"/>
          </rPr>
          <t>Introduzca un texto con la finalidad de la contratación</t>
        </r>
      </text>
    </comment>
    <comment ref="C766" authorId="1" shapeId="0">
      <text>
        <r>
          <rPr>
            <sz val="11"/>
            <color theme="1"/>
            <rFont val="Calibri"/>
            <family val="2"/>
            <scheme val="minor"/>
          </rPr>
          <t>Seleccionar un valor del listado</t>
        </r>
      </text>
    </comment>
    <comment ref="D766" authorId="1" shapeId="0">
      <text>
        <r>
          <rPr>
            <sz val="11"/>
            <color theme="1"/>
            <rFont val="Calibri"/>
            <family val="2"/>
            <scheme val="minor"/>
          </rPr>
          <t>Seleccione el tipo de procedimiento</t>
        </r>
      </text>
    </comment>
    <comment ref="E766" authorId="1" shapeId="0">
      <text>
        <r>
          <rPr>
            <sz val="11"/>
            <color theme="1"/>
            <rFont val="Calibri"/>
            <family val="2"/>
            <scheme val="minor"/>
          </rPr>
          <t>Seleccione un valor de la lista</t>
        </r>
      </text>
    </comment>
    <comment ref="F766" authorId="2" shapeId="0">
      <text>
        <r>
          <rPr>
            <sz val="11"/>
            <color theme="1"/>
            <rFont val="Calibri"/>
            <family val="2"/>
            <scheme val="minor"/>
          </rPr>
          <t>Introduzca el código SNIP</t>
        </r>
      </text>
    </comment>
    <comment ref="C767" authorId="2" shapeId="0">
      <text>
        <r>
          <rPr>
            <sz val="11"/>
            <color theme="1"/>
            <rFont val="Calibri"/>
            <family val="2"/>
            <scheme val="minor"/>
          </rPr>
          <t>Introduzca la fecha de inicio del proceso, en formato dd-mm-aaaa</t>
        </r>
      </text>
    </comment>
    <comment ref="F7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2" shapeId="0">
      <text/>
    </comment>
    <comment ref="C769" authorId="2" shapeId="0">
      <text>
        <r>
          <rPr>
            <sz val="11"/>
            <color theme="1"/>
            <rFont val="Calibri"/>
            <family val="2"/>
            <scheme val="minor"/>
          </rPr>
          <t>Introduzca la fecha prevista de adjudicación, en formato dd-mm-aaaa</t>
        </r>
      </text>
    </comment>
    <comment ref="F769" authorId="2" shapeId="0">
      <text/>
    </comment>
    <comment ref="F770" authorId="2" shapeId="0">
      <text/>
    </comment>
    <comment ref="A772" authorId="2" shapeId="0">
      <text>
        <r>
          <rPr>
            <sz val="11"/>
            <color theme="1"/>
            <rFont val="Calibri"/>
            <family val="2"/>
            <scheme val="minor"/>
          </rPr>
          <t>Introduzca un codigo UNSPSC</t>
        </r>
      </text>
    </comment>
    <comment ref="B772" authorId="2" shapeId="0">
      <text>
        <r>
          <rPr>
            <sz val="11"/>
            <color theme="1"/>
            <rFont val="Calibri"/>
            <family val="2"/>
            <scheme val="minor"/>
          </rPr>
          <t>Descripción calculada automáticamente a partir de código del artículo</t>
        </r>
      </text>
    </comment>
    <comment ref="C772" authorId="2" shapeId="0">
      <text>
        <r>
          <rPr>
            <sz val="11"/>
            <color theme="1"/>
            <rFont val="Calibri"/>
            <family val="2"/>
            <scheme val="minor"/>
          </rPr>
          <t>Seleccione un valor de la lista</t>
        </r>
      </text>
    </comment>
    <comment ref="D772" authorId="2" shapeId="0">
      <text>
        <r>
          <rPr>
            <sz val="11"/>
            <color theme="1"/>
            <rFont val="Calibri"/>
            <family val="2"/>
            <scheme val="minor"/>
          </rPr>
          <t>Introduzca un número con dos decimales como máximo. Debe ser igual o mayor a la "Cantidad Real Consumida"</t>
        </r>
      </text>
    </comment>
    <comment ref="E772" authorId="2" shapeId="0">
      <text>
        <r>
          <rPr>
            <sz val="11"/>
            <color theme="1"/>
            <rFont val="Calibri"/>
            <family val="2"/>
            <scheme val="minor"/>
          </rPr>
          <t>Introduzca un número con dos decimales como máximo</t>
        </r>
      </text>
    </comment>
    <comment ref="F772" authorId="2" shapeId="0">
      <text>
        <r>
          <rPr>
            <sz val="11"/>
            <color theme="1"/>
            <rFont val="Calibri"/>
            <family val="2"/>
            <scheme val="minor"/>
          </rPr>
          <t>Monto calculado automáticamente por el sistema</t>
        </r>
      </text>
    </comment>
    <comment ref="A777" authorId="1" shapeId="0">
      <text>
        <r>
          <rPr>
            <sz val="11"/>
            <color theme="1"/>
            <rFont val="Calibri"/>
            <family val="2"/>
            <scheme val="minor"/>
          </rPr>
          <t>Introducir un texto con el nombre o referencia de la contratación</t>
        </r>
      </text>
    </comment>
    <comment ref="B777" authorId="1" shapeId="0">
      <text>
        <r>
          <rPr>
            <sz val="11"/>
            <color theme="1"/>
            <rFont val="Calibri"/>
            <family val="2"/>
            <scheme val="minor"/>
          </rPr>
          <t>Introduzca un texto con la finalidad de la contratación</t>
        </r>
      </text>
    </comment>
    <comment ref="C777" authorId="1" shapeId="0">
      <text>
        <r>
          <rPr>
            <sz val="11"/>
            <color theme="1"/>
            <rFont val="Calibri"/>
            <family val="2"/>
            <scheme val="minor"/>
          </rPr>
          <t>Seleccionar un valor del listado</t>
        </r>
      </text>
    </comment>
    <comment ref="D777" authorId="1" shapeId="0">
      <text>
        <r>
          <rPr>
            <sz val="11"/>
            <color theme="1"/>
            <rFont val="Calibri"/>
            <family val="2"/>
            <scheme val="minor"/>
          </rPr>
          <t>Seleccione el tipo de procedimiento</t>
        </r>
      </text>
    </comment>
    <comment ref="E777" authorId="1" shapeId="0">
      <text>
        <r>
          <rPr>
            <sz val="11"/>
            <color theme="1"/>
            <rFont val="Calibri"/>
            <family val="2"/>
            <scheme val="minor"/>
          </rPr>
          <t>Seleccione un valor de la lista</t>
        </r>
      </text>
    </comment>
    <comment ref="F777" authorId="2" shapeId="0">
      <text>
        <r>
          <rPr>
            <sz val="11"/>
            <color theme="1"/>
            <rFont val="Calibri"/>
            <family val="2"/>
            <scheme val="minor"/>
          </rPr>
          <t>Introduzca el código SNIP</t>
        </r>
      </text>
    </comment>
    <comment ref="C778" authorId="2" shapeId="0">
      <text>
        <r>
          <rPr>
            <sz val="11"/>
            <color theme="1"/>
            <rFont val="Calibri"/>
            <family val="2"/>
            <scheme val="minor"/>
          </rPr>
          <t>Introduzca la fecha de inicio del proceso, en formato dd-mm-aaaa</t>
        </r>
      </text>
    </comment>
    <comment ref="F7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2" shapeId="0">
      <text/>
    </comment>
    <comment ref="C780" authorId="2" shapeId="0">
      <text>
        <r>
          <rPr>
            <sz val="11"/>
            <color theme="1"/>
            <rFont val="Calibri"/>
            <family val="2"/>
            <scheme val="minor"/>
          </rPr>
          <t>Introduzca la fecha prevista de adjudicación, en formato dd-mm-aaaa</t>
        </r>
      </text>
    </comment>
    <comment ref="F780" authorId="2" shapeId="0">
      <text/>
    </comment>
    <comment ref="F781" authorId="2" shapeId="0">
      <text/>
    </comment>
    <comment ref="A783" authorId="2" shapeId="0">
      <text>
        <r>
          <rPr>
            <sz val="11"/>
            <color theme="1"/>
            <rFont val="Calibri"/>
            <family val="2"/>
            <scheme val="minor"/>
          </rPr>
          <t>Introduzca un codigo UNSPSC</t>
        </r>
      </text>
    </comment>
    <comment ref="B783" authorId="2" shapeId="0">
      <text>
        <r>
          <rPr>
            <sz val="11"/>
            <color theme="1"/>
            <rFont val="Calibri"/>
            <family val="2"/>
            <scheme val="minor"/>
          </rPr>
          <t>Descripción calculada automáticamente a partir de código del artículo</t>
        </r>
      </text>
    </comment>
    <comment ref="C783" authorId="2" shapeId="0">
      <text>
        <r>
          <rPr>
            <sz val="11"/>
            <color theme="1"/>
            <rFont val="Calibri"/>
            <family val="2"/>
            <scheme val="minor"/>
          </rPr>
          <t>Seleccione un valor de la lista</t>
        </r>
      </text>
    </comment>
    <comment ref="D783" authorId="2" shapeId="0">
      <text>
        <r>
          <rPr>
            <sz val="11"/>
            <color theme="1"/>
            <rFont val="Calibri"/>
            <family val="2"/>
            <scheme val="minor"/>
          </rPr>
          <t>Introduzca un número con dos decimales como máximo. Debe ser igual o mayor a la "Cantidad Real Consumida"</t>
        </r>
      </text>
    </comment>
    <comment ref="E783" authorId="2" shapeId="0">
      <text>
        <r>
          <rPr>
            <sz val="11"/>
            <color theme="1"/>
            <rFont val="Calibri"/>
            <family val="2"/>
            <scheme val="minor"/>
          </rPr>
          <t>Introduzca un número con dos decimales como máximo</t>
        </r>
      </text>
    </comment>
    <comment ref="F783" authorId="2" shapeId="0">
      <text>
        <r>
          <rPr>
            <sz val="11"/>
            <color theme="1"/>
            <rFont val="Calibri"/>
            <family val="2"/>
            <scheme val="minor"/>
          </rPr>
          <t>Monto calculado automáticamente por el sistema</t>
        </r>
      </text>
    </comment>
    <comment ref="A788" authorId="1" shapeId="0">
      <text>
        <r>
          <rPr>
            <sz val="11"/>
            <color theme="1"/>
            <rFont val="Calibri"/>
            <family val="2"/>
            <scheme val="minor"/>
          </rPr>
          <t>Introducir un texto con el nombre o referencia de la contratación</t>
        </r>
      </text>
    </comment>
    <comment ref="B788" authorId="1" shapeId="0">
      <text>
        <r>
          <rPr>
            <sz val="11"/>
            <color theme="1"/>
            <rFont val="Calibri"/>
            <family val="2"/>
            <scheme val="minor"/>
          </rPr>
          <t>Introduzca un texto con la finalidad de la contratación</t>
        </r>
      </text>
    </comment>
    <comment ref="C788" authorId="1" shapeId="0">
      <text>
        <r>
          <rPr>
            <sz val="11"/>
            <color theme="1"/>
            <rFont val="Calibri"/>
            <family val="2"/>
            <scheme val="minor"/>
          </rPr>
          <t>Seleccionar un valor del listado</t>
        </r>
      </text>
    </comment>
    <comment ref="D788" authorId="1" shapeId="0">
      <text>
        <r>
          <rPr>
            <sz val="11"/>
            <color theme="1"/>
            <rFont val="Calibri"/>
            <family val="2"/>
            <scheme val="minor"/>
          </rPr>
          <t>Seleccione el tipo de procedimiento</t>
        </r>
      </text>
    </comment>
    <comment ref="E788" authorId="1" shapeId="0">
      <text>
        <r>
          <rPr>
            <sz val="11"/>
            <color theme="1"/>
            <rFont val="Calibri"/>
            <family val="2"/>
            <scheme val="minor"/>
          </rPr>
          <t>Seleccione un valor de la lista</t>
        </r>
      </text>
    </comment>
    <comment ref="F788" authorId="2" shapeId="0">
      <text>
        <r>
          <rPr>
            <sz val="11"/>
            <color theme="1"/>
            <rFont val="Calibri"/>
            <family val="2"/>
            <scheme val="minor"/>
          </rPr>
          <t>Introduzca el código SNIP</t>
        </r>
      </text>
    </comment>
    <comment ref="C789" authorId="2" shapeId="0">
      <text>
        <r>
          <rPr>
            <sz val="11"/>
            <color theme="1"/>
            <rFont val="Calibri"/>
            <family val="2"/>
            <scheme val="minor"/>
          </rPr>
          <t>Introduzca la fecha de inicio del proceso, en formato dd-mm-aaaa</t>
        </r>
      </text>
    </comment>
    <comment ref="F7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2" shapeId="0">
      <text/>
    </comment>
    <comment ref="C791" authorId="2" shapeId="0">
      <text>
        <r>
          <rPr>
            <sz val="11"/>
            <color theme="1"/>
            <rFont val="Calibri"/>
            <family val="2"/>
            <scheme val="minor"/>
          </rPr>
          <t>Introduzca la fecha prevista de adjudicación, en formato dd-mm-aaaa</t>
        </r>
      </text>
    </comment>
    <comment ref="F791" authorId="2" shapeId="0">
      <text/>
    </comment>
    <comment ref="F792" authorId="2" shapeId="0">
      <text/>
    </comment>
    <comment ref="A794" authorId="2" shapeId="0">
      <text>
        <r>
          <rPr>
            <sz val="11"/>
            <color theme="1"/>
            <rFont val="Calibri"/>
            <family val="2"/>
            <scheme val="minor"/>
          </rPr>
          <t>Introduzca un codigo UNSPSC</t>
        </r>
      </text>
    </comment>
    <comment ref="B794" authorId="2" shapeId="0">
      <text>
        <r>
          <rPr>
            <sz val="11"/>
            <color theme="1"/>
            <rFont val="Calibri"/>
            <family val="2"/>
            <scheme val="minor"/>
          </rPr>
          <t>Descripción calculada automáticamente a partir de código del artículo</t>
        </r>
      </text>
    </comment>
    <comment ref="C794" authorId="2" shapeId="0">
      <text>
        <r>
          <rPr>
            <sz val="11"/>
            <color theme="1"/>
            <rFont val="Calibri"/>
            <family val="2"/>
            <scheme val="minor"/>
          </rPr>
          <t>Seleccione un valor de la lista</t>
        </r>
      </text>
    </comment>
    <comment ref="D794" authorId="2" shapeId="0">
      <text>
        <r>
          <rPr>
            <sz val="11"/>
            <color theme="1"/>
            <rFont val="Calibri"/>
            <family val="2"/>
            <scheme val="minor"/>
          </rPr>
          <t>Introduzca un número con dos decimales como máximo. Debe ser igual o mayor a la "Cantidad Real Consumida"</t>
        </r>
      </text>
    </comment>
    <comment ref="E794" authorId="2" shapeId="0">
      <text>
        <r>
          <rPr>
            <sz val="11"/>
            <color theme="1"/>
            <rFont val="Calibri"/>
            <family val="2"/>
            <scheme val="minor"/>
          </rPr>
          <t>Introduzca un número con dos decimales como máximo</t>
        </r>
      </text>
    </comment>
    <comment ref="F794" authorId="2" shapeId="0">
      <text>
        <r>
          <rPr>
            <sz val="11"/>
            <color theme="1"/>
            <rFont val="Calibri"/>
            <family val="2"/>
            <scheme val="minor"/>
          </rPr>
          <t>Monto calculado automáticamente por el sistema</t>
        </r>
      </text>
    </comment>
    <comment ref="A799" authorId="2" shapeId="0">
      <text>
        <r>
          <rPr>
            <sz val="11"/>
            <color theme="1"/>
            <rFont val="Calibri"/>
            <family val="2"/>
            <scheme val="minor"/>
          </rPr>
          <t>Introducir un texto con el nombre o referencia de la contratación</t>
        </r>
      </text>
    </comment>
    <comment ref="B799" authorId="2" shapeId="0">
      <text>
        <r>
          <rPr>
            <sz val="11"/>
            <color theme="1"/>
            <rFont val="Calibri"/>
            <family val="2"/>
            <scheme val="minor"/>
          </rPr>
          <t>Introduzca un texto con la finalidad de la contratación</t>
        </r>
      </text>
    </comment>
    <comment ref="C799" authorId="2" shapeId="0">
      <text>
        <r>
          <rPr>
            <sz val="11"/>
            <color theme="1"/>
            <rFont val="Calibri"/>
            <family val="2"/>
            <scheme val="minor"/>
          </rPr>
          <t>Seleccionar un valor del listado</t>
        </r>
      </text>
    </comment>
    <comment ref="D799" authorId="2" shapeId="0">
      <text>
        <r>
          <rPr>
            <sz val="11"/>
            <color theme="1"/>
            <rFont val="Calibri"/>
            <family val="2"/>
            <scheme val="minor"/>
          </rPr>
          <t>Seleccione el tipo de procedimiento</t>
        </r>
      </text>
    </comment>
    <comment ref="E799" authorId="2" shapeId="0">
      <text>
        <r>
          <rPr>
            <sz val="11"/>
            <color theme="1"/>
            <rFont val="Calibri"/>
            <family val="2"/>
            <scheme val="minor"/>
          </rPr>
          <t>Seleccione un valor de la lista</t>
        </r>
      </text>
    </comment>
    <comment ref="F799" authorId="2" shapeId="0">
      <text>
        <r>
          <rPr>
            <sz val="11"/>
            <color theme="1"/>
            <rFont val="Calibri"/>
            <family val="2"/>
            <scheme val="minor"/>
          </rPr>
          <t>Introduzca el código SNIP</t>
        </r>
      </text>
    </comment>
    <comment ref="C800" authorId="2" shapeId="0">
      <text>
        <r>
          <rPr>
            <sz val="11"/>
            <color theme="1"/>
            <rFont val="Calibri"/>
            <family val="2"/>
            <scheme val="minor"/>
          </rPr>
          <t>Introduzca la fecha de inicio del proceso, en formato dd-mm-aaaa</t>
        </r>
      </text>
    </comment>
    <comment ref="F8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2" shapeId="0">
      <text/>
    </comment>
    <comment ref="C802" authorId="2" shapeId="0">
      <text>
        <r>
          <rPr>
            <sz val="11"/>
            <color theme="1"/>
            <rFont val="Calibri"/>
            <family val="2"/>
            <scheme val="minor"/>
          </rPr>
          <t>Introduzca la fecha prevista de adjudicación, en formato dd-mm-aaaa</t>
        </r>
      </text>
    </comment>
    <comment ref="F802" authorId="2" shapeId="0">
      <text/>
    </comment>
    <comment ref="F803" authorId="2" shapeId="0">
      <text/>
    </comment>
    <comment ref="A805" authorId="2" shapeId="0">
      <text>
        <r>
          <rPr>
            <sz val="11"/>
            <color theme="1"/>
            <rFont val="Calibri"/>
            <family val="2"/>
            <scheme val="minor"/>
          </rPr>
          <t>Introduzca un codigo UNSPSC</t>
        </r>
      </text>
    </comment>
    <comment ref="B805" authorId="2" shapeId="0">
      <text>
        <r>
          <rPr>
            <sz val="11"/>
            <color theme="1"/>
            <rFont val="Calibri"/>
            <family val="2"/>
            <scheme val="minor"/>
          </rPr>
          <t>Descripción calculada automáticamente a partir de código del artículo</t>
        </r>
      </text>
    </comment>
    <comment ref="C805" authorId="2" shapeId="0">
      <text>
        <r>
          <rPr>
            <sz val="11"/>
            <color theme="1"/>
            <rFont val="Calibri"/>
            <family val="2"/>
            <scheme val="minor"/>
          </rPr>
          <t>Seleccione un valor de la lista</t>
        </r>
      </text>
    </comment>
    <comment ref="D805" authorId="2" shapeId="0">
      <text>
        <r>
          <rPr>
            <sz val="11"/>
            <color theme="1"/>
            <rFont val="Calibri"/>
            <family val="2"/>
            <scheme val="minor"/>
          </rPr>
          <t>Introduzca un número con dos decimales como máximo. Debe ser igual o mayor a la "Cantidad Real Consumida"</t>
        </r>
      </text>
    </comment>
    <comment ref="E805" authorId="2" shapeId="0">
      <text>
        <r>
          <rPr>
            <sz val="11"/>
            <color theme="1"/>
            <rFont val="Calibri"/>
            <family val="2"/>
            <scheme val="minor"/>
          </rPr>
          <t>Introduzca un número con dos decimales como máximo</t>
        </r>
      </text>
    </comment>
    <comment ref="F805" authorId="2" shapeId="0">
      <text>
        <r>
          <rPr>
            <sz val="11"/>
            <color theme="1"/>
            <rFont val="Calibri"/>
            <family val="2"/>
            <scheme val="minor"/>
          </rPr>
          <t>Monto calculado automáticamente por el sistema</t>
        </r>
      </text>
    </comment>
    <comment ref="A810" authorId="1" shapeId="0">
      <text>
        <r>
          <rPr>
            <sz val="11"/>
            <color theme="1"/>
            <rFont val="Calibri"/>
            <family val="2"/>
            <scheme val="minor"/>
          </rPr>
          <t>Introducir un texto con el nombre o referencia de la contratación</t>
        </r>
      </text>
    </comment>
    <comment ref="B810" authorId="1" shapeId="0">
      <text>
        <r>
          <rPr>
            <sz val="11"/>
            <color theme="1"/>
            <rFont val="Calibri"/>
            <family val="2"/>
            <scheme val="minor"/>
          </rPr>
          <t>Introduzca un texto con la finalidad de la contratación</t>
        </r>
      </text>
    </comment>
    <comment ref="C810" authorId="1" shapeId="0">
      <text>
        <r>
          <rPr>
            <sz val="11"/>
            <color theme="1"/>
            <rFont val="Calibri"/>
            <family val="2"/>
            <scheme val="minor"/>
          </rPr>
          <t>Seleccionar un valor del listado</t>
        </r>
      </text>
    </comment>
    <comment ref="D810" authorId="1" shapeId="0">
      <text>
        <r>
          <rPr>
            <sz val="11"/>
            <color theme="1"/>
            <rFont val="Calibri"/>
            <family val="2"/>
            <scheme val="minor"/>
          </rPr>
          <t>Seleccione el tipo de procedimiento</t>
        </r>
      </text>
    </comment>
    <comment ref="E810" authorId="1" shapeId="0">
      <text>
        <r>
          <rPr>
            <sz val="11"/>
            <color theme="1"/>
            <rFont val="Calibri"/>
            <family val="2"/>
            <scheme val="minor"/>
          </rPr>
          <t>Seleccione un valor de la lista</t>
        </r>
      </text>
    </comment>
    <comment ref="F810" authorId="2" shapeId="0">
      <text>
        <r>
          <rPr>
            <sz val="11"/>
            <color theme="1"/>
            <rFont val="Calibri"/>
            <family val="2"/>
            <scheme val="minor"/>
          </rPr>
          <t>Introduzca el código SNIP</t>
        </r>
      </text>
    </comment>
    <comment ref="C811" authorId="2" shapeId="0">
      <text>
        <r>
          <rPr>
            <sz val="11"/>
            <color theme="1"/>
            <rFont val="Calibri"/>
            <family val="2"/>
            <scheme val="minor"/>
          </rPr>
          <t>Introduzca la fecha de inicio del proceso, en formato dd-mm-aaaa</t>
        </r>
      </text>
    </comment>
    <comment ref="F8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2" shapeId="0">
      <text/>
    </comment>
    <comment ref="C813" authorId="2" shapeId="0">
      <text>
        <r>
          <rPr>
            <sz val="11"/>
            <color theme="1"/>
            <rFont val="Calibri"/>
            <family val="2"/>
            <scheme val="minor"/>
          </rPr>
          <t>Introduzca la fecha prevista de adjudicación, en formato dd-mm-aaaa</t>
        </r>
      </text>
    </comment>
    <comment ref="F813" authorId="2" shapeId="0">
      <text/>
    </comment>
    <comment ref="F814" authorId="2" shapeId="0">
      <text/>
    </comment>
    <comment ref="A816" authorId="2" shapeId="0">
      <text>
        <r>
          <rPr>
            <sz val="11"/>
            <color theme="1"/>
            <rFont val="Calibri"/>
            <family val="2"/>
            <scheme val="minor"/>
          </rPr>
          <t>Introduzca un codigo UNSPSC</t>
        </r>
      </text>
    </comment>
    <comment ref="B816" authorId="2" shapeId="0">
      <text>
        <r>
          <rPr>
            <sz val="11"/>
            <color theme="1"/>
            <rFont val="Calibri"/>
            <family val="2"/>
            <scheme val="minor"/>
          </rPr>
          <t>Descripción calculada automáticamente a partir de código del artículo</t>
        </r>
      </text>
    </comment>
    <comment ref="C816" authorId="2" shapeId="0">
      <text>
        <r>
          <rPr>
            <sz val="11"/>
            <color theme="1"/>
            <rFont val="Calibri"/>
            <family val="2"/>
            <scheme val="minor"/>
          </rPr>
          <t>Seleccione un valor de la lista</t>
        </r>
      </text>
    </comment>
    <comment ref="D816" authorId="2" shapeId="0">
      <text>
        <r>
          <rPr>
            <sz val="11"/>
            <color theme="1"/>
            <rFont val="Calibri"/>
            <family val="2"/>
            <scheme val="minor"/>
          </rPr>
          <t>Introduzca un número con dos decimales como máximo. Debe ser igual o mayor a la "Cantidad Real Consumida"</t>
        </r>
      </text>
    </comment>
    <comment ref="E816" authorId="2" shapeId="0">
      <text>
        <r>
          <rPr>
            <sz val="11"/>
            <color theme="1"/>
            <rFont val="Calibri"/>
            <family val="2"/>
            <scheme val="minor"/>
          </rPr>
          <t>Introduzca un número con dos decimales como máximo</t>
        </r>
      </text>
    </comment>
    <comment ref="F816" authorId="2" shapeId="0">
      <text>
        <r>
          <rPr>
            <sz val="11"/>
            <color theme="1"/>
            <rFont val="Calibri"/>
            <family val="2"/>
            <scheme val="minor"/>
          </rPr>
          <t>Monto calculado automáticamente por el sistema</t>
        </r>
      </text>
    </comment>
    <comment ref="A822" authorId="1" shapeId="0">
      <text>
        <r>
          <rPr>
            <sz val="11"/>
            <color theme="1"/>
            <rFont val="Calibri"/>
            <family val="2"/>
            <scheme val="minor"/>
          </rPr>
          <t>Introducir un texto con el nombre o referencia de la contratación</t>
        </r>
      </text>
    </comment>
    <comment ref="B822" authorId="1" shapeId="0">
      <text>
        <r>
          <rPr>
            <sz val="11"/>
            <color theme="1"/>
            <rFont val="Calibri"/>
            <family val="2"/>
            <scheme val="minor"/>
          </rPr>
          <t>Introduzca un texto con la finalidad de la contratación</t>
        </r>
      </text>
    </comment>
    <comment ref="C822" authorId="1" shapeId="0">
      <text>
        <r>
          <rPr>
            <sz val="11"/>
            <color theme="1"/>
            <rFont val="Calibri"/>
            <family val="2"/>
            <scheme val="minor"/>
          </rPr>
          <t>Seleccionar un valor del listado</t>
        </r>
      </text>
    </comment>
    <comment ref="D822" authorId="1" shapeId="0">
      <text>
        <r>
          <rPr>
            <sz val="11"/>
            <color theme="1"/>
            <rFont val="Calibri"/>
            <family val="2"/>
            <scheme val="minor"/>
          </rPr>
          <t>Seleccione el tipo de procedimiento</t>
        </r>
      </text>
    </comment>
    <comment ref="E822" authorId="1" shapeId="0">
      <text>
        <r>
          <rPr>
            <sz val="11"/>
            <color theme="1"/>
            <rFont val="Calibri"/>
            <family val="2"/>
            <scheme val="minor"/>
          </rPr>
          <t>Seleccione un valor de la lista</t>
        </r>
      </text>
    </comment>
    <comment ref="F822" authorId="2" shapeId="0">
      <text>
        <r>
          <rPr>
            <sz val="11"/>
            <color theme="1"/>
            <rFont val="Calibri"/>
            <family val="2"/>
            <scheme val="minor"/>
          </rPr>
          <t>Introduzca el código SNIP</t>
        </r>
      </text>
    </comment>
    <comment ref="C823" authorId="2" shapeId="0">
      <text>
        <r>
          <rPr>
            <sz val="11"/>
            <color theme="1"/>
            <rFont val="Calibri"/>
            <family val="2"/>
            <scheme val="minor"/>
          </rPr>
          <t>Introduzca la fecha de inicio del proceso, en formato dd-mm-aaaa</t>
        </r>
      </text>
    </comment>
    <comment ref="F8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text/>
    </comment>
    <comment ref="C825" authorId="2" shapeId="0">
      <text>
        <r>
          <rPr>
            <sz val="11"/>
            <color theme="1"/>
            <rFont val="Calibri"/>
            <family val="2"/>
            <scheme val="minor"/>
          </rPr>
          <t>Introduzca la fecha prevista de adjudicación, en formato dd-mm-aaaa</t>
        </r>
      </text>
    </comment>
    <comment ref="F825" authorId="2" shapeId="0">
      <text/>
    </comment>
    <comment ref="F826" authorId="2" shapeId="0">
      <text/>
    </comment>
    <comment ref="A828" authorId="2" shapeId="0">
      <text>
        <r>
          <rPr>
            <sz val="11"/>
            <color theme="1"/>
            <rFont val="Calibri"/>
            <family val="2"/>
            <scheme val="minor"/>
          </rPr>
          <t>Introduzca un codigo UNSPSC</t>
        </r>
      </text>
    </comment>
    <comment ref="B828" authorId="2" shapeId="0">
      <text>
        <r>
          <rPr>
            <sz val="11"/>
            <color theme="1"/>
            <rFont val="Calibri"/>
            <family val="2"/>
            <scheme val="minor"/>
          </rPr>
          <t>Descripción calculada automáticamente a partir de código del artículo</t>
        </r>
      </text>
    </comment>
    <comment ref="C828" authorId="2" shapeId="0">
      <text>
        <r>
          <rPr>
            <sz val="11"/>
            <color theme="1"/>
            <rFont val="Calibri"/>
            <family val="2"/>
            <scheme val="minor"/>
          </rPr>
          <t>Seleccione un valor de la lista</t>
        </r>
      </text>
    </comment>
    <comment ref="D828" authorId="2" shapeId="0">
      <text>
        <r>
          <rPr>
            <sz val="11"/>
            <color theme="1"/>
            <rFont val="Calibri"/>
            <family val="2"/>
            <scheme val="minor"/>
          </rPr>
          <t>Introduzca un número con dos decimales como máximo. Debe ser igual o mayor a la "Cantidad Real Consumida"</t>
        </r>
      </text>
    </comment>
    <comment ref="E828" authorId="2" shapeId="0">
      <text>
        <r>
          <rPr>
            <sz val="11"/>
            <color theme="1"/>
            <rFont val="Calibri"/>
            <family val="2"/>
            <scheme val="minor"/>
          </rPr>
          <t>Introduzca un número con dos decimales como máximo</t>
        </r>
      </text>
    </comment>
    <comment ref="F828" authorId="2" shapeId="0">
      <text>
        <r>
          <rPr>
            <sz val="11"/>
            <color theme="1"/>
            <rFont val="Calibri"/>
            <family val="2"/>
            <scheme val="minor"/>
          </rPr>
          <t>Monto calculado automáticamente por el sistema</t>
        </r>
      </text>
    </comment>
    <comment ref="A833" authorId="1" shapeId="0">
      <text>
        <r>
          <rPr>
            <sz val="11"/>
            <color theme="1"/>
            <rFont val="Calibri"/>
            <family val="2"/>
            <scheme val="minor"/>
          </rPr>
          <t>Introducir un texto con el nombre o referencia de la contratación</t>
        </r>
      </text>
    </comment>
    <comment ref="B833" authorId="1" shapeId="0">
      <text>
        <r>
          <rPr>
            <sz val="11"/>
            <color theme="1"/>
            <rFont val="Calibri"/>
            <family val="2"/>
            <scheme val="minor"/>
          </rPr>
          <t>Introduzca un texto con la finalidad de la contratación</t>
        </r>
      </text>
    </comment>
    <comment ref="C833" authorId="1" shapeId="0">
      <text>
        <r>
          <rPr>
            <sz val="11"/>
            <color theme="1"/>
            <rFont val="Calibri"/>
            <family val="2"/>
            <scheme val="minor"/>
          </rPr>
          <t>Seleccionar un valor del listado</t>
        </r>
      </text>
    </comment>
    <comment ref="D833" authorId="1" shapeId="0">
      <text>
        <r>
          <rPr>
            <sz val="11"/>
            <color theme="1"/>
            <rFont val="Calibri"/>
            <family val="2"/>
            <scheme val="minor"/>
          </rPr>
          <t>Seleccione el tipo de procedimiento</t>
        </r>
      </text>
    </comment>
    <comment ref="E833" authorId="1" shapeId="0">
      <text>
        <r>
          <rPr>
            <sz val="11"/>
            <color theme="1"/>
            <rFont val="Calibri"/>
            <family val="2"/>
            <scheme val="minor"/>
          </rPr>
          <t>Seleccione un valor de la lista</t>
        </r>
      </text>
    </comment>
    <comment ref="F833" authorId="2" shapeId="0">
      <text>
        <r>
          <rPr>
            <sz val="11"/>
            <color theme="1"/>
            <rFont val="Calibri"/>
            <family val="2"/>
            <scheme val="minor"/>
          </rPr>
          <t>Introduzca el código SNIP</t>
        </r>
      </text>
    </comment>
    <comment ref="C834" authorId="2" shapeId="0">
      <text>
        <r>
          <rPr>
            <sz val="11"/>
            <color theme="1"/>
            <rFont val="Calibri"/>
            <family val="2"/>
            <scheme val="minor"/>
          </rPr>
          <t>Introduzca la fecha de inicio del proceso, en formato dd-mm-aaaa</t>
        </r>
      </text>
    </comment>
    <comment ref="F8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text/>
    </comment>
    <comment ref="C836" authorId="2" shapeId="0">
      <text>
        <r>
          <rPr>
            <sz val="11"/>
            <color theme="1"/>
            <rFont val="Calibri"/>
            <family val="2"/>
            <scheme val="minor"/>
          </rPr>
          <t>Introduzca la fecha prevista de adjudicación, en formato dd-mm-aaaa</t>
        </r>
      </text>
    </comment>
    <comment ref="F836" authorId="2" shapeId="0">
      <text/>
    </comment>
    <comment ref="F837" authorId="2" shapeId="0">
      <text/>
    </comment>
    <comment ref="A839" authorId="2" shapeId="0">
      <text>
        <r>
          <rPr>
            <sz val="11"/>
            <color theme="1"/>
            <rFont val="Calibri"/>
            <family val="2"/>
            <scheme val="minor"/>
          </rPr>
          <t>Introduzca un codigo UNSPSC</t>
        </r>
      </text>
    </comment>
    <comment ref="B839" authorId="2" shapeId="0">
      <text>
        <r>
          <rPr>
            <sz val="11"/>
            <color theme="1"/>
            <rFont val="Calibri"/>
            <family val="2"/>
            <scheme val="minor"/>
          </rPr>
          <t>Descripción calculada automáticamente a partir de código del artículo</t>
        </r>
      </text>
    </comment>
    <comment ref="C839" authorId="2" shapeId="0">
      <text>
        <r>
          <rPr>
            <sz val="11"/>
            <color theme="1"/>
            <rFont val="Calibri"/>
            <family val="2"/>
            <scheme val="minor"/>
          </rPr>
          <t>Seleccione un valor de la lista</t>
        </r>
      </text>
    </comment>
    <comment ref="D839" authorId="2" shapeId="0">
      <text>
        <r>
          <rPr>
            <sz val="11"/>
            <color theme="1"/>
            <rFont val="Calibri"/>
            <family val="2"/>
            <scheme val="minor"/>
          </rPr>
          <t>Introduzca un número con dos decimales como máximo. Debe ser igual o mayor a la "Cantidad Real Consumida"</t>
        </r>
      </text>
    </comment>
    <comment ref="E839" authorId="2" shapeId="0">
      <text>
        <r>
          <rPr>
            <sz val="11"/>
            <color theme="1"/>
            <rFont val="Calibri"/>
            <family val="2"/>
            <scheme val="minor"/>
          </rPr>
          <t>Introduzca un número con dos decimales como máximo</t>
        </r>
      </text>
    </comment>
    <comment ref="F839" authorId="2" shapeId="0">
      <text>
        <r>
          <rPr>
            <sz val="11"/>
            <color theme="1"/>
            <rFont val="Calibri"/>
            <family val="2"/>
            <scheme val="minor"/>
          </rPr>
          <t>Monto calculado automáticamente por el sistema</t>
        </r>
      </text>
    </comment>
    <comment ref="A844" authorId="1" shapeId="0">
      <text>
        <r>
          <rPr>
            <sz val="11"/>
            <color theme="1"/>
            <rFont val="Calibri"/>
            <family val="2"/>
            <scheme val="minor"/>
          </rPr>
          <t>Introducir un texto con el nombre o referencia de la contratación</t>
        </r>
      </text>
    </comment>
    <comment ref="B844" authorId="1" shapeId="0">
      <text>
        <r>
          <rPr>
            <sz val="11"/>
            <color theme="1"/>
            <rFont val="Calibri"/>
            <family val="2"/>
            <scheme val="minor"/>
          </rPr>
          <t>Introduzca un texto con la finalidad de la contratación</t>
        </r>
      </text>
    </comment>
    <comment ref="C844" authorId="1" shapeId="0">
      <text>
        <r>
          <rPr>
            <sz val="11"/>
            <color theme="1"/>
            <rFont val="Calibri"/>
            <family val="2"/>
            <scheme val="minor"/>
          </rPr>
          <t>Seleccionar un valor del listado</t>
        </r>
      </text>
    </comment>
    <comment ref="D844" authorId="1" shapeId="0">
      <text>
        <r>
          <rPr>
            <sz val="11"/>
            <color theme="1"/>
            <rFont val="Calibri"/>
            <family val="2"/>
            <scheme val="minor"/>
          </rPr>
          <t>Seleccione el tipo de procedimiento</t>
        </r>
      </text>
    </comment>
    <comment ref="E844" authorId="1" shapeId="0">
      <text>
        <r>
          <rPr>
            <sz val="11"/>
            <color theme="1"/>
            <rFont val="Calibri"/>
            <family val="2"/>
            <scheme val="minor"/>
          </rPr>
          <t>Seleccione un valor de la lista</t>
        </r>
      </text>
    </comment>
    <comment ref="F844" authorId="2" shapeId="0">
      <text>
        <r>
          <rPr>
            <sz val="11"/>
            <color theme="1"/>
            <rFont val="Calibri"/>
            <family val="2"/>
            <scheme val="minor"/>
          </rPr>
          <t>Introduzca el código SNIP</t>
        </r>
      </text>
    </comment>
    <comment ref="C845" authorId="2" shapeId="0">
      <text>
        <r>
          <rPr>
            <sz val="11"/>
            <color theme="1"/>
            <rFont val="Calibri"/>
            <family val="2"/>
            <scheme val="minor"/>
          </rPr>
          <t>Introduzca la fecha de inicio del proceso, en formato dd-mm-aaaa</t>
        </r>
      </text>
    </comment>
    <comment ref="F8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shapeId="0">
      <text/>
    </comment>
    <comment ref="C847" authorId="2" shapeId="0">
      <text>
        <r>
          <rPr>
            <sz val="11"/>
            <color theme="1"/>
            <rFont val="Calibri"/>
            <family val="2"/>
            <scheme val="minor"/>
          </rPr>
          <t>Introduzca la fecha prevista de adjudicación, en formato dd-mm-aaaa</t>
        </r>
      </text>
    </comment>
    <comment ref="F847" authorId="2" shapeId="0">
      <text/>
    </comment>
    <comment ref="F848" authorId="2" shapeId="0">
      <text/>
    </comment>
    <comment ref="A850" authorId="2" shapeId="0">
      <text>
        <r>
          <rPr>
            <sz val="11"/>
            <color theme="1"/>
            <rFont val="Calibri"/>
            <family val="2"/>
            <scheme val="minor"/>
          </rPr>
          <t>Introduzca un codigo UNSPSC</t>
        </r>
      </text>
    </comment>
    <comment ref="B850" authorId="2" shapeId="0">
      <text>
        <r>
          <rPr>
            <sz val="11"/>
            <color theme="1"/>
            <rFont val="Calibri"/>
            <family val="2"/>
            <scheme val="minor"/>
          </rPr>
          <t>Descripción calculada automáticamente a partir de código del artículo</t>
        </r>
      </text>
    </comment>
    <comment ref="C850" authorId="2" shapeId="0">
      <text>
        <r>
          <rPr>
            <sz val="11"/>
            <color theme="1"/>
            <rFont val="Calibri"/>
            <family val="2"/>
            <scheme val="minor"/>
          </rPr>
          <t>Seleccione un valor de la lista</t>
        </r>
      </text>
    </comment>
    <comment ref="D850" authorId="2" shapeId="0">
      <text>
        <r>
          <rPr>
            <sz val="11"/>
            <color theme="1"/>
            <rFont val="Calibri"/>
            <family val="2"/>
            <scheme val="minor"/>
          </rPr>
          <t>Introduzca un número con dos decimales como máximo. Debe ser igual o mayor a la "Cantidad Real Consumida"</t>
        </r>
      </text>
    </comment>
    <comment ref="E850" authorId="2" shapeId="0">
      <text>
        <r>
          <rPr>
            <sz val="11"/>
            <color theme="1"/>
            <rFont val="Calibri"/>
            <family val="2"/>
            <scheme val="minor"/>
          </rPr>
          <t>Introduzca un número con dos decimales como máximo</t>
        </r>
      </text>
    </comment>
    <comment ref="F850" authorId="2" shapeId="0">
      <text>
        <r>
          <rPr>
            <sz val="11"/>
            <color theme="1"/>
            <rFont val="Calibri"/>
            <family val="2"/>
            <scheme val="minor"/>
          </rPr>
          <t>Monto calculado automáticamente por el sistema</t>
        </r>
      </text>
    </comment>
    <comment ref="A859" authorId="1" shapeId="0">
      <text>
        <r>
          <rPr>
            <sz val="11"/>
            <color theme="1"/>
            <rFont val="Calibri"/>
            <family val="2"/>
            <scheme val="minor"/>
          </rPr>
          <t>Introducir un texto con el nombre o referencia de la contratación</t>
        </r>
      </text>
    </comment>
    <comment ref="B859" authorId="1" shapeId="0">
      <text>
        <r>
          <rPr>
            <sz val="11"/>
            <color theme="1"/>
            <rFont val="Calibri"/>
            <family val="2"/>
            <scheme val="minor"/>
          </rPr>
          <t>Introduzca un texto con la finalidad de la contratación</t>
        </r>
      </text>
    </comment>
    <comment ref="C859" authorId="1" shapeId="0">
      <text>
        <r>
          <rPr>
            <sz val="11"/>
            <color theme="1"/>
            <rFont val="Calibri"/>
            <family val="2"/>
            <scheme val="minor"/>
          </rPr>
          <t>Seleccionar un valor del listado</t>
        </r>
      </text>
    </comment>
    <comment ref="D859" authorId="1" shapeId="0">
      <text>
        <r>
          <rPr>
            <sz val="11"/>
            <color theme="1"/>
            <rFont val="Calibri"/>
            <family val="2"/>
            <scheme val="minor"/>
          </rPr>
          <t>Seleccione el tipo de procedimiento</t>
        </r>
      </text>
    </comment>
    <comment ref="E859" authorId="1" shapeId="0">
      <text>
        <r>
          <rPr>
            <sz val="11"/>
            <color theme="1"/>
            <rFont val="Calibri"/>
            <family val="2"/>
            <scheme val="minor"/>
          </rPr>
          <t>Seleccione un valor de la lista</t>
        </r>
      </text>
    </comment>
    <comment ref="F859" authorId="2" shapeId="0">
      <text>
        <r>
          <rPr>
            <sz val="11"/>
            <color theme="1"/>
            <rFont val="Calibri"/>
            <family val="2"/>
            <scheme val="minor"/>
          </rPr>
          <t>Introduzca el código SNIP</t>
        </r>
      </text>
    </comment>
    <comment ref="C860" authorId="2" shapeId="0">
      <text>
        <r>
          <rPr>
            <sz val="11"/>
            <color theme="1"/>
            <rFont val="Calibri"/>
            <family val="2"/>
            <scheme val="minor"/>
          </rPr>
          <t>Introduzca la fecha de inicio del proceso, en formato dd-mm-aaaa</t>
        </r>
      </text>
    </comment>
    <comment ref="F8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2" shapeId="0">
      <text/>
    </comment>
    <comment ref="C862" authorId="2" shapeId="0">
      <text>
        <r>
          <rPr>
            <sz val="11"/>
            <color theme="1"/>
            <rFont val="Calibri"/>
            <family val="2"/>
            <scheme val="minor"/>
          </rPr>
          <t>Introduzca la fecha prevista de adjudicación, en formato dd-mm-aaaa</t>
        </r>
      </text>
    </comment>
    <comment ref="F862" authorId="2" shapeId="0">
      <text/>
    </comment>
    <comment ref="F863" authorId="2" shapeId="0">
      <text/>
    </comment>
    <comment ref="A865" authorId="2" shapeId="0">
      <text>
        <r>
          <rPr>
            <sz val="11"/>
            <color theme="1"/>
            <rFont val="Calibri"/>
            <family val="2"/>
            <scheme val="minor"/>
          </rPr>
          <t>Introduzca un codigo UNSPSC</t>
        </r>
      </text>
    </comment>
    <comment ref="B865" authorId="2" shapeId="0">
      <text>
        <r>
          <rPr>
            <sz val="11"/>
            <color theme="1"/>
            <rFont val="Calibri"/>
            <family val="2"/>
            <scheme val="minor"/>
          </rPr>
          <t>Descripción calculada automáticamente a partir de código del artículo</t>
        </r>
      </text>
    </comment>
    <comment ref="C865" authorId="2" shapeId="0">
      <text>
        <r>
          <rPr>
            <sz val="11"/>
            <color theme="1"/>
            <rFont val="Calibri"/>
            <family val="2"/>
            <scheme val="minor"/>
          </rPr>
          <t>Seleccione un valor de la lista</t>
        </r>
      </text>
    </comment>
    <comment ref="D865" authorId="2" shapeId="0">
      <text>
        <r>
          <rPr>
            <sz val="11"/>
            <color theme="1"/>
            <rFont val="Calibri"/>
            <family val="2"/>
            <scheme val="minor"/>
          </rPr>
          <t>Introduzca un número con dos decimales como máximo. Debe ser igual o mayor a la "Cantidad Real Consumida"</t>
        </r>
      </text>
    </comment>
    <comment ref="E865" authorId="2" shapeId="0">
      <text>
        <r>
          <rPr>
            <sz val="11"/>
            <color theme="1"/>
            <rFont val="Calibri"/>
            <family val="2"/>
            <scheme val="minor"/>
          </rPr>
          <t>Introduzca un número con dos decimales como máximo</t>
        </r>
      </text>
    </comment>
    <comment ref="F865" authorId="2" shapeId="0">
      <text>
        <r>
          <rPr>
            <sz val="11"/>
            <color theme="1"/>
            <rFont val="Calibri"/>
            <family val="2"/>
            <scheme val="minor"/>
          </rPr>
          <t>Monto calculado automáticamente por el sistema</t>
        </r>
      </text>
    </comment>
    <comment ref="A870" authorId="1" shapeId="0">
      <text>
        <r>
          <rPr>
            <sz val="11"/>
            <color theme="1"/>
            <rFont val="Calibri"/>
            <family val="2"/>
            <scheme val="minor"/>
          </rPr>
          <t>Introducir un texto con el nombre o referencia de la contratación</t>
        </r>
      </text>
    </comment>
    <comment ref="B870" authorId="1" shapeId="0">
      <text>
        <r>
          <rPr>
            <sz val="11"/>
            <color theme="1"/>
            <rFont val="Calibri"/>
            <family val="2"/>
            <scheme val="minor"/>
          </rPr>
          <t>Introduzca un texto con la finalidad de la contratación</t>
        </r>
      </text>
    </comment>
    <comment ref="C870" authorId="1" shapeId="0">
      <text>
        <r>
          <rPr>
            <sz val="11"/>
            <color theme="1"/>
            <rFont val="Calibri"/>
            <family val="2"/>
            <scheme val="minor"/>
          </rPr>
          <t>Seleccionar un valor del listado</t>
        </r>
      </text>
    </comment>
    <comment ref="D870" authorId="1" shapeId="0">
      <text>
        <r>
          <rPr>
            <sz val="11"/>
            <color theme="1"/>
            <rFont val="Calibri"/>
            <family val="2"/>
            <scheme val="minor"/>
          </rPr>
          <t>Seleccione el tipo de procedimiento</t>
        </r>
      </text>
    </comment>
    <comment ref="E870" authorId="1" shapeId="0">
      <text>
        <r>
          <rPr>
            <sz val="11"/>
            <color theme="1"/>
            <rFont val="Calibri"/>
            <family val="2"/>
            <scheme val="minor"/>
          </rPr>
          <t>Seleccione un valor de la lista</t>
        </r>
      </text>
    </comment>
    <comment ref="F870" authorId="2" shapeId="0">
      <text>
        <r>
          <rPr>
            <sz val="11"/>
            <color theme="1"/>
            <rFont val="Calibri"/>
            <family val="2"/>
            <scheme val="minor"/>
          </rPr>
          <t>Introduzca el código SNIP</t>
        </r>
      </text>
    </comment>
    <comment ref="C871" authorId="2" shapeId="0">
      <text>
        <r>
          <rPr>
            <sz val="11"/>
            <color theme="1"/>
            <rFont val="Calibri"/>
            <family val="2"/>
            <scheme val="minor"/>
          </rPr>
          <t>Introduzca la fecha de inicio del proceso, en formato dd-mm-aaaa</t>
        </r>
      </text>
    </comment>
    <comment ref="F8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2" shapeId="0">
      <text/>
    </comment>
    <comment ref="C873" authorId="2" shapeId="0">
      <text>
        <r>
          <rPr>
            <sz val="11"/>
            <color theme="1"/>
            <rFont val="Calibri"/>
            <family val="2"/>
            <scheme val="minor"/>
          </rPr>
          <t>Introduzca la fecha prevista de adjudicación, en formato dd-mm-aaaa</t>
        </r>
      </text>
    </comment>
    <comment ref="F873" authorId="2" shapeId="0">
      <text/>
    </comment>
    <comment ref="F874" authorId="2" shapeId="0">
      <text/>
    </comment>
    <comment ref="A876" authorId="2" shapeId="0">
      <text>
        <r>
          <rPr>
            <sz val="11"/>
            <color theme="1"/>
            <rFont val="Calibri"/>
            <family val="2"/>
            <scheme val="minor"/>
          </rPr>
          <t>Introduzca un codigo UNSPSC</t>
        </r>
      </text>
    </comment>
    <comment ref="B876" authorId="2" shapeId="0">
      <text>
        <r>
          <rPr>
            <sz val="11"/>
            <color theme="1"/>
            <rFont val="Calibri"/>
            <family val="2"/>
            <scheme val="minor"/>
          </rPr>
          <t>Descripción calculada automáticamente a partir de código del artículo</t>
        </r>
      </text>
    </comment>
    <comment ref="C876" authorId="2" shapeId="0">
      <text>
        <r>
          <rPr>
            <sz val="11"/>
            <color theme="1"/>
            <rFont val="Calibri"/>
            <family val="2"/>
            <scheme val="minor"/>
          </rPr>
          <t>Seleccione un valor de la lista</t>
        </r>
      </text>
    </comment>
    <comment ref="D876" authorId="2" shapeId="0">
      <text>
        <r>
          <rPr>
            <sz val="11"/>
            <color theme="1"/>
            <rFont val="Calibri"/>
            <family val="2"/>
            <scheme val="minor"/>
          </rPr>
          <t>Introduzca un número con dos decimales como máximo. Debe ser igual o mayor a la "Cantidad Real Consumida"</t>
        </r>
      </text>
    </comment>
    <comment ref="E876" authorId="2" shapeId="0">
      <text>
        <r>
          <rPr>
            <sz val="11"/>
            <color theme="1"/>
            <rFont val="Calibri"/>
            <family val="2"/>
            <scheme val="minor"/>
          </rPr>
          <t>Introduzca un número con dos decimales como máximo</t>
        </r>
      </text>
    </comment>
    <comment ref="F876" authorId="2" shapeId="0">
      <text>
        <r>
          <rPr>
            <sz val="11"/>
            <color theme="1"/>
            <rFont val="Calibri"/>
            <family val="2"/>
            <scheme val="minor"/>
          </rPr>
          <t>Monto calculado automáticamente por el sistema</t>
        </r>
      </text>
    </comment>
    <comment ref="A881" authorId="2" shapeId="0">
      <text>
        <r>
          <rPr>
            <sz val="11"/>
            <color theme="1"/>
            <rFont val="Calibri"/>
            <family val="2"/>
            <scheme val="minor"/>
          </rPr>
          <t>Introducir un texto con el nombre o referencia de la contratación</t>
        </r>
      </text>
    </comment>
    <comment ref="B881" authorId="2" shapeId="0">
      <text>
        <r>
          <rPr>
            <sz val="11"/>
            <color theme="1"/>
            <rFont val="Calibri"/>
            <family val="2"/>
            <scheme val="minor"/>
          </rPr>
          <t>Introduzca un texto con la finalidad de la contratación</t>
        </r>
      </text>
    </comment>
    <comment ref="C881" authorId="2" shapeId="0">
      <text>
        <r>
          <rPr>
            <sz val="11"/>
            <color theme="1"/>
            <rFont val="Calibri"/>
            <family val="2"/>
            <scheme val="minor"/>
          </rPr>
          <t>Seleccionar un valor del listado</t>
        </r>
      </text>
    </comment>
    <comment ref="D881" authorId="2" shapeId="0">
      <text>
        <r>
          <rPr>
            <sz val="11"/>
            <color theme="1"/>
            <rFont val="Calibri"/>
            <family val="2"/>
            <scheme val="minor"/>
          </rPr>
          <t>Seleccione el tipo de procedimiento</t>
        </r>
      </text>
    </comment>
    <comment ref="E881" authorId="2" shapeId="0">
      <text>
        <r>
          <rPr>
            <sz val="11"/>
            <color theme="1"/>
            <rFont val="Calibri"/>
            <family val="2"/>
            <scheme val="minor"/>
          </rPr>
          <t>Seleccione un valor de la lista</t>
        </r>
      </text>
    </comment>
    <comment ref="F881" authorId="2" shapeId="0">
      <text>
        <r>
          <rPr>
            <sz val="11"/>
            <color theme="1"/>
            <rFont val="Calibri"/>
            <family val="2"/>
            <scheme val="minor"/>
          </rPr>
          <t>Introduzca el código SNIP</t>
        </r>
      </text>
    </comment>
    <comment ref="C882" authorId="2" shapeId="0">
      <text>
        <r>
          <rPr>
            <sz val="11"/>
            <color theme="1"/>
            <rFont val="Calibri"/>
            <family val="2"/>
            <scheme val="minor"/>
          </rPr>
          <t>Introduzca la fecha de inicio del proceso, en formato dd-mm-aaaa</t>
        </r>
      </text>
    </comment>
    <comment ref="F8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2" shapeId="0">
      <text/>
    </comment>
    <comment ref="C884" authorId="2" shapeId="0">
      <text>
        <r>
          <rPr>
            <sz val="11"/>
            <color theme="1"/>
            <rFont val="Calibri"/>
            <family val="2"/>
            <scheme val="minor"/>
          </rPr>
          <t>Introduzca la fecha prevista de adjudicación, en formato dd-mm-aaaa</t>
        </r>
      </text>
    </comment>
    <comment ref="F884" authorId="2" shapeId="0">
      <text/>
    </comment>
    <comment ref="F885" authorId="2" shapeId="0">
      <text/>
    </comment>
    <comment ref="A887" authorId="2" shapeId="0">
      <text>
        <r>
          <rPr>
            <sz val="11"/>
            <color theme="1"/>
            <rFont val="Calibri"/>
            <family val="2"/>
            <scheme val="minor"/>
          </rPr>
          <t>Introduzca un codigo UNSPSC</t>
        </r>
      </text>
    </comment>
    <comment ref="B887" authorId="2" shapeId="0">
      <text>
        <r>
          <rPr>
            <sz val="11"/>
            <color theme="1"/>
            <rFont val="Calibri"/>
            <family val="2"/>
            <scheme val="minor"/>
          </rPr>
          <t>Descripción calculada automáticamente a partir de código del artículo</t>
        </r>
      </text>
    </comment>
    <comment ref="C887" authorId="2" shapeId="0">
      <text>
        <r>
          <rPr>
            <sz val="11"/>
            <color theme="1"/>
            <rFont val="Calibri"/>
            <family val="2"/>
            <scheme val="minor"/>
          </rPr>
          <t>Seleccione un valor de la lista</t>
        </r>
      </text>
    </comment>
    <comment ref="D887" authorId="2" shapeId="0">
      <text>
        <r>
          <rPr>
            <sz val="11"/>
            <color theme="1"/>
            <rFont val="Calibri"/>
            <family val="2"/>
            <scheme val="minor"/>
          </rPr>
          <t>Introduzca un número con dos decimales como máximo. Debe ser igual o mayor a la "Cantidad Real Consumida"</t>
        </r>
      </text>
    </comment>
    <comment ref="E887" authorId="2" shapeId="0">
      <text>
        <r>
          <rPr>
            <sz val="11"/>
            <color theme="1"/>
            <rFont val="Calibri"/>
            <family val="2"/>
            <scheme val="minor"/>
          </rPr>
          <t>Introduzca un número con dos decimales como máximo</t>
        </r>
      </text>
    </comment>
    <comment ref="F887" authorId="2" shapeId="0">
      <text>
        <r>
          <rPr>
            <sz val="11"/>
            <color theme="1"/>
            <rFont val="Calibri"/>
            <family val="2"/>
            <scheme val="minor"/>
          </rPr>
          <t>Monto calculado automáticamente por el sistema</t>
        </r>
      </text>
    </comment>
    <comment ref="A901" authorId="2" shapeId="0">
      <text>
        <r>
          <rPr>
            <sz val="11"/>
            <color theme="1"/>
            <rFont val="Calibri"/>
            <family val="2"/>
            <scheme val="minor"/>
          </rPr>
          <t>Introducir un texto con el nombre o referencia de la contratación</t>
        </r>
      </text>
    </comment>
    <comment ref="B901" authorId="2" shapeId="0">
      <text>
        <r>
          <rPr>
            <sz val="11"/>
            <color theme="1"/>
            <rFont val="Calibri"/>
            <family val="2"/>
            <scheme val="minor"/>
          </rPr>
          <t>Introduzca un texto con la finalidad de la contratación</t>
        </r>
      </text>
    </comment>
    <comment ref="C901" authorId="2" shapeId="0">
      <text>
        <r>
          <rPr>
            <sz val="11"/>
            <color theme="1"/>
            <rFont val="Calibri"/>
            <family val="2"/>
            <scheme val="minor"/>
          </rPr>
          <t>Seleccionar un valor del listado</t>
        </r>
      </text>
    </comment>
    <comment ref="D901" authorId="2" shapeId="0">
      <text>
        <r>
          <rPr>
            <sz val="11"/>
            <color theme="1"/>
            <rFont val="Calibri"/>
            <family val="2"/>
            <scheme val="minor"/>
          </rPr>
          <t>Seleccione el tipo de procedimiento</t>
        </r>
      </text>
    </comment>
    <comment ref="E901" authorId="2" shapeId="0">
      <text>
        <r>
          <rPr>
            <sz val="11"/>
            <color theme="1"/>
            <rFont val="Calibri"/>
            <family val="2"/>
            <scheme val="minor"/>
          </rPr>
          <t>Seleccione un valor de la lista</t>
        </r>
      </text>
    </comment>
    <comment ref="F901" authorId="2" shapeId="0">
      <text>
        <r>
          <rPr>
            <sz val="11"/>
            <color theme="1"/>
            <rFont val="Calibri"/>
            <family val="2"/>
            <scheme val="minor"/>
          </rPr>
          <t>Introduzca el código SNIP</t>
        </r>
      </text>
    </comment>
    <comment ref="C902" authorId="2" shapeId="0">
      <text>
        <r>
          <rPr>
            <sz val="11"/>
            <color theme="1"/>
            <rFont val="Calibri"/>
            <family val="2"/>
            <scheme val="minor"/>
          </rPr>
          <t>Introduzca la fecha de inicio del proceso, en formato dd-mm-aaaa</t>
        </r>
      </text>
    </comment>
    <comment ref="F9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2" shapeId="0">
      <text/>
    </comment>
    <comment ref="C904" authorId="2" shapeId="0">
      <text>
        <r>
          <rPr>
            <sz val="11"/>
            <color theme="1"/>
            <rFont val="Calibri"/>
            <family val="2"/>
            <scheme val="minor"/>
          </rPr>
          <t>Introduzca la fecha prevista de adjudicación, en formato dd-mm-aaaa</t>
        </r>
      </text>
    </comment>
    <comment ref="F904" authorId="2" shapeId="0">
      <text/>
    </comment>
    <comment ref="F905" authorId="2" shapeId="0">
      <text/>
    </comment>
    <comment ref="A907" authorId="2" shapeId="0">
      <text>
        <r>
          <rPr>
            <sz val="11"/>
            <color theme="1"/>
            <rFont val="Calibri"/>
            <family val="2"/>
            <scheme val="minor"/>
          </rPr>
          <t>Introduzca un codigo UNSPSC</t>
        </r>
      </text>
    </comment>
    <comment ref="B907" authorId="2" shapeId="0">
      <text>
        <r>
          <rPr>
            <sz val="11"/>
            <color theme="1"/>
            <rFont val="Calibri"/>
            <family val="2"/>
            <scheme val="minor"/>
          </rPr>
          <t>Descripción calculada automáticamente a partir de código del artículo</t>
        </r>
      </text>
    </comment>
    <comment ref="C907" authorId="2" shapeId="0">
      <text>
        <r>
          <rPr>
            <sz val="11"/>
            <color theme="1"/>
            <rFont val="Calibri"/>
            <family val="2"/>
            <scheme val="minor"/>
          </rPr>
          <t>Seleccione un valor de la lista</t>
        </r>
      </text>
    </comment>
    <comment ref="D907" authorId="2" shapeId="0">
      <text>
        <r>
          <rPr>
            <sz val="11"/>
            <color theme="1"/>
            <rFont val="Calibri"/>
            <family val="2"/>
            <scheme val="minor"/>
          </rPr>
          <t>Introduzca un número con dos decimales como máximo. Debe ser igual o mayor a la "Cantidad Real Consumida"</t>
        </r>
      </text>
    </comment>
    <comment ref="E907" authorId="2" shapeId="0">
      <text>
        <r>
          <rPr>
            <sz val="11"/>
            <color theme="1"/>
            <rFont val="Calibri"/>
            <family val="2"/>
            <scheme val="minor"/>
          </rPr>
          <t>Introduzca un número con dos decimales como máximo</t>
        </r>
      </text>
    </comment>
    <comment ref="F907" authorId="2" shapeId="0">
      <text>
        <r>
          <rPr>
            <sz val="11"/>
            <color theme="1"/>
            <rFont val="Calibri"/>
            <family val="2"/>
            <scheme val="minor"/>
          </rPr>
          <t>Monto calculado automáticamente por el sistema</t>
        </r>
      </text>
    </comment>
    <comment ref="A912" authorId="2" shapeId="0">
      <text>
        <r>
          <rPr>
            <sz val="11"/>
            <color theme="1"/>
            <rFont val="Calibri"/>
            <family val="2"/>
            <scheme val="minor"/>
          </rPr>
          <t>Introducir un texto con el nombre o referencia de la contratación</t>
        </r>
      </text>
    </comment>
    <comment ref="B912" authorId="2" shapeId="0">
      <text>
        <r>
          <rPr>
            <sz val="11"/>
            <color theme="1"/>
            <rFont val="Calibri"/>
            <family val="2"/>
            <scheme val="minor"/>
          </rPr>
          <t>Introduzca un texto con la finalidad de la contratación</t>
        </r>
      </text>
    </comment>
    <comment ref="C912" authorId="2" shapeId="0">
      <text>
        <r>
          <rPr>
            <sz val="11"/>
            <color theme="1"/>
            <rFont val="Calibri"/>
            <family val="2"/>
            <scheme val="minor"/>
          </rPr>
          <t>Seleccionar un valor del listado</t>
        </r>
      </text>
    </comment>
    <comment ref="D912" authorId="2" shapeId="0">
      <text>
        <r>
          <rPr>
            <sz val="11"/>
            <color theme="1"/>
            <rFont val="Calibri"/>
            <family val="2"/>
            <scheme val="minor"/>
          </rPr>
          <t>Seleccione el tipo de procedimiento</t>
        </r>
      </text>
    </comment>
    <comment ref="E912" authorId="2" shapeId="0">
      <text>
        <r>
          <rPr>
            <sz val="11"/>
            <color theme="1"/>
            <rFont val="Calibri"/>
            <family val="2"/>
            <scheme val="minor"/>
          </rPr>
          <t>Seleccione un valor de la lista</t>
        </r>
      </text>
    </comment>
    <comment ref="F912" authorId="2" shapeId="0">
      <text>
        <r>
          <rPr>
            <sz val="11"/>
            <color theme="1"/>
            <rFont val="Calibri"/>
            <family val="2"/>
            <scheme val="minor"/>
          </rPr>
          <t>Introduzca el código SNIP</t>
        </r>
      </text>
    </comment>
    <comment ref="C913" authorId="2" shapeId="0">
      <text>
        <r>
          <rPr>
            <sz val="11"/>
            <color theme="1"/>
            <rFont val="Calibri"/>
            <family val="2"/>
            <scheme val="minor"/>
          </rPr>
          <t>Introduzca la fecha de inicio del proceso, en formato dd-mm-aaaa</t>
        </r>
      </text>
    </comment>
    <comment ref="F9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2" shapeId="0">
      <text/>
    </comment>
    <comment ref="C915" authorId="2" shapeId="0">
      <text>
        <r>
          <rPr>
            <sz val="11"/>
            <color theme="1"/>
            <rFont val="Calibri"/>
            <family val="2"/>
            <scheme val="minor"/>
          </rPr>
          <t>Introduzca la fecha prevista de adjudicación, en formato dd-mm-aaaa</t>
        </r>
      </text>
    </comment>
    <comment ref="F915" authorId="2" shapeId="0">
      <text/>
    </comment>
    <comment ref="F916" authorId="2" shapeId="0">
      <text/>
    </comment>
    <comment ref="A918" authorId="2" shapeId="0">
      <text>
        <r>
          <rPr>
            <sz val="11"/>
            <color theme="1"/>
            <rFont val="Calibri"/>
            <family val="2"/>
            <scheme val="minor"/>
          </rPr>
          <t>Introduzca un codigo UNSPSC</t>
        </r>
      </text>
    </comment>
    <comment ref="B918" authorId="2" shapeId="0">
      <text>
        <r>
          <rPr>
            <sz val="11"/>
            <color theme="1"/>
            <rFont val="Calibri"/>
            <family val="2"/>
            <scheme val="minor"/>
          </rPr>
          <t>Descripción calculada automáticamente a partir de código del artículo</t>
        </r>
      </text>
    </comment>
    <comment ref="C918" authorId="2" shapeId="0">
      <text>
        <r>
          <rPr>
            <sz val="11"/>
            <color theme="1"/>
            <rFont val="Calibri"/>
            <family val="2"/>
            <scheme val="minor"/>
          </rPr>
          <t>Seleccione un valor de la lista</t>
        </r>
      </text>
    </comment>
    <comment ref="D918" authorId="2" shapeId="0">
      <text>
        <r>
          <rPr>
            <sz val="11"/>
            <color theme="1"/>
            <rFont val="Calibri"/>
            <family val="2"/>
            <scheme val="minor"/>
          </rPr>
          <t>Introduzca un número con dos decimales como máximo. Debe ser igual o mayor a la "Cantidad Real Consumida"</t>
        </r>
      </text>
    </comment>
    <comment ref="E918" authorId="2" shapeId="0">
      <text>
        <r>
          <rPr>
            <sz val="11"/>
            <color theme="1"/>
            <rFont val="Calibri"/>
            <family val="2"/>
            <scheme val="minor"/>
          </rPr>
          <t>Introduzca un número con dos decimales como máximo</t>
        </r>
      </text>
    </comment>
    <comment ref="F918" authorId="2" shapeId="0">
      <text>
        <r>
          <rPr>
            <sz val="11"/>
            <color theme="1"/>
            <rFont val="Calibri"/>
            <family val="2"/>
            <scheme val="minor"/>
          </rPr>
          <t>Monto calculado automáticamente por el sistema</t>
        </r>
      </text>
    </comment>
    <comment ref="A927" authorId="2" shapeId="0">
      <text>
        <r>
          <rPr>
            <sz val="11"/>
            <color theme="1"/>
            <rFont val="Calibri"/>
            <family val="2"/>
            <scheme val="minor"/>
          </rPr>
          <t>Introducir un texto con el nombre o referencia de la contratación</t>
        </r>
      </text>
    </comment>
    <comment ref="B927" authorId="2" shapeId="0">
      <text>
        <r>
          <rPr>
            <sz val="11"/>
            <color theme="1"/>
            <rFont val="Calibri"/>
            <family val="2"/>
            <scheme val="minor"/>
          </rPr>
          <t>Introduzca un texto con la finalidad de la contratación</t>
        </r>
      </text>
    </comment>
    <comment ref="C927" authorId="2" shapeId="0">
      <text>
        <r>
          <rPr>
            <sz val="11"/>
            <color theme="1"/>
            <rFont val="Calibri"/>
            <family val="2"/>
            <scheme val="minor"/>
          </rPr>
          <t>Seleccionar un valor del listado</t>
        </r>
      </text>
    </comment>
    <comment ref="D927" authorId="2" shapeId="0">
      <text>
        <r>
          <rPr>
            <sz val="11"/>
            <color theme="1"/>
            <rFont val="Calibri"/>
            <family val="2"/>
            <scheme val="minor"/>
          </rPr>
          <t>Seleccione el tipo de procedimiento</t>
        </r>
      </text>
    </comment>
    <comment ref="E927" authorId="2" shapeId="0">
      <text>
        <r>
          <rPr>
            <sz val="11"/>
            <color theme="1"/>
            <rFont val="Calibri"/>
            <family val="2"/>
            <scheme val="minor"/>
          </rPr>
          <t>Seleccione un valor de la lista</t>
        </r>
      </text>
    </comment>
    <comment ref="F927" authorId="2" shapeId="0">
      <text>
        <r>
          <rPr>
            <sz val="11"/>
            <color theme="1"/>
            <rFont val="Calibri"/>
            <family val="2"/>
            <scheme val="minor"/>
          </rPr>
          <t>Introduzca el código SNIP</t>
        </r>
      </text>
    </comment>
    <comment ref="C928" authorId="2" shapeId="0">
      <text>
        <r>
          <rPr>
            <sz val="11"/>
            <color theme="1"/>
            <rFont val="Calibri"/>
            <family val="2"/>
            <scheme val="minor"/>
          </rPr>
          <t>Introduzca la fecha de inicio del proceso, en formato dd-mm-aaaa</t>
        </r>
      </text>
    </comment>
    <comment ref="F9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2" shapeId="0">
      <text/>
    </comment>
    <comment ref="C930" authorId="2" shapeId="0">
      <text>
        <r>
          <rPr>
            <sz val="11"/>
            <color theme="1"/>
            <rFont val="Calibri"/>
            <family val="2"/>
            <scheme val="minor"/>
          </rPr>
          <t>Introduzca la fecha prevista de adjudicación, en formato dd-mm-aaaa</t>
        </r>
      </text>
    </comment>
    <comment ref="F930" authorId="2" shapeId="0">
      <text/>
    </comment>
    <comment ref="F931" authorId="2" shapeId="0">
      <text/>
    </comment>
    <comment ref="A933" authorId="2" shapeId="0">
      <text>
        <r>
          <rPr>
            <sz val="11"/>
            <color theme="1"/>
            <rFont val="Calibri"/>
            <family val="2"/>
            <scheme val="minor"/>
          </rPr>
          <t>Introduzca un codigo UNSPSC</t>
        </r>
      </text>
    </comment>
    <comment ref="B933" authorId="2" shapeId="0">
      <text>
        <r>
          <rPr>
            <sz val="11"/>
            <color theme="1"/>
            <rFont val="Calibri"/>
            <family val="2"/>
            <scheme val="minor"/>
          </rPr>
          <t>Descripción calculada automáticamente a partir de código del artículo</t>
        </r>
      </text>
    </comment>
    <comment ref="C933" authorId="2" shapeId="0">
      <text>
        <r>
          <rPr>
            <sz val="11"/>
            <color theme="1"/>
            <rFont val="Calibri"/>
            <family val="2"/>
            <scheme val="minor"/>
          </rPr>
          <t>Seleccione un valor de la lista</t>
        </r>
      </text>
    </comment>
    <comment ref="D933" authorId="2" shapeId="0">
      <text>
        <r>
          <rPr>
            <sz val="11"/>
            <color theme="1"/>
            <rFont val="Calibri"/>
            <family val="2"/>
            <scheme val="minor"/>
          </rPr>
          <t>Introduzca un número con dos decimales como máximo. Debe ser igual o mayor a la "Cantidad Real Consumida"</t>
        </r>
      </text>
    </comment>
    <comment ref="E933" authorId="2" shapeId="0">
      <text>
        <r>
          <rPr>
            <sz val="11"/>
            <color theme="1"/>
            <rFont val="Calibri"/>
            <family val="2"/>
            <scheme val="minor"/>
          </rPr>
          <t>Introduzca un número con dos decimales como máximo</t>
        </r>
      </text>
    </comment>
    <comment ref="F933" authorId="2" shapeId="0">
      <text>
        <r>
          <rPr>
            <sz val="11"/>
            <color theme="1"/>
            <rFont val="Calibri"/>
            <family val="2"/>
            <scheme val="minor"/>
          </rPr>
          <t>Monto calculado automáticamente por el sistema</t>
        </r>
      </text>
    </comment>
    <comment ref="A939" authorId="1" shapeId="0">
      <text>
        <r>
          <rPr>
            <sz val="11"/>
            <color theme="1"/>
            <rFont val="Calibri"/>
            <family val="2"/>
            <scheme val="minor"/>
          </rPr>
          <t>Introducir un texto con el nombre o referencia de la contratación</t>
        </r>
      </text>
    </comment>
    <comment ref="B939" authorId="1" shapeId="0">
      <text>
        <r>
          <rPr>
            <sz val="11"/>
            <color theme="1"/>
            <rFont val="Calibri"/>
            <family val="2"/>
            <scheme val="minor"/>
          </rPr>
          <t>Introduzca un texto con la finalidad de la contratación</t>
        </r>
      </text>
    </comment>
    <comment ref="C939" authorId="1" shapeId="0">
      <text>
        <r>
          <rPr>
            <sz val="11"/>
            <color theme="1"/>
            <rFont val="Calibri"/>
            <family val="2"/>
            <scheme val="minor"/>
          </rPr>
          <t>Seleccionar un valor del listado</t>
        </r>
      </text>
    </comment>
    <comment ref="D939" authorId="1" shapeId="0">
      <text>
        <r>
          <rPr>
            <sz val="11"/>
            <color theme="1"/>
            <rFont val="Calibri"/>
            <family val="2"/>
            <scheme val="minor"/>
          </rPr>
          <t>Seleccione el tipo de procedimiento</t>
        </r>
      </text>
    </comment>
    <comment ref="E939" authorId="1" shapeId="0">
      <text>
        <r>
          <rPr>
            <sz val="11"/>
            <color theme="1"/>
            <rFont val="Calibri"/>
            <family val="2"/>
            <scheme val="minor"/>
          </rPr>
          <t>Seleccione un valor de la lista</t>
        </r>
      </text>
    </comment>
    <comment ref="F939" authorId="2" shapeId="0">
      <text>
        <r>
          <rPr>
            <sz val="11"/>
            <color theme="1"/>
            <rFont val="Calibri"/>
            <family val="2"/>
            <scheme val="minor"/>
          </rPr>
          <t>Introduzca el código SNIP</t>
        </r>
      </text>
    </comment>
    <comment ref="C940" authorId="2" shapeId="0">
      <text>
        <r>
          <rPr>
            <sz val="11"/>
            <color theme="1"/>
            <rFont val="Calibri"/>
            <family val="2"/>
            <scheme val="minor"/>
          </rPr>
          <t>Introduzca la fecha de inicio del proceso, en formato dd-mm-aaaa</t>
        </r>
      </text>
    </comment>
    <comment ref="F9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2" shapeId="0">
      <text/>
    </comment>
    <comment ref="C942" authorId="2" shapeId="0">
      <text>
        <r>
          <rPr>
            <sz val="11"/>
            <color theme="1"/>
            <rFont val="Calibri"/>
            <family val="2"/>
            <scheme val="minor"/>
          </rPr>
          <t>Introduzca la fecha prevista de adjudicación, en formato dd-mm-aaaa</t>
        </r>
      </text>
    </comment>
    <comment ref="F942" authorId="2" shapeId="0">
      <text/>
    </comment>
    <comment ref="F943" authorId="2" shapeId="0">
      <text/>
    </comment>
    <comment ref="A945" authorId="2" shapeId="0">
      <text>
        <r>
          <rPr>
            <sz val="11"/>
            <color theme="1"/>
            <rFont val="Calibri"/>
            <family val="2"/>
            <scheme val="minor"/>
          </rPr>
          <t>Introduzca un codigo UNSPSC</t>
        </r>
      </text>
    </comment>
    <comment ref="B945" authorId="2" shapeId="0">
      <text>
        <r>
          <rPr>
            <sz val="11"/>
            <color theme="1"/>
            <rFont val="Calibri"/>
            <family val="2"/>
            <scheme val="minor"/>
          </rPr>
          <t>Descripción calculada automáticamente a partir de código del artículo</t>
        </r>
      </text>
    </comment>
    <comment ref="C945" authorId="2" shapeId="0">
      <text>
        <r>
          <rPr>
            <sz val="11"/>
            <color theme="1"/>
            <rFont val="Calibri"/>
            <family val="2"/>
            <scheme val="minor"/>
          </rPr>
          <t>Seleccione un valor de la lista</t>
        </r>
      </text>
    </comment>
    <comment ref="D945" authorId="2" shapeId="0">
      <text>
        <r>
          <rPr>
            <sz val="11"/>
            <color theme="1"/>
            <rFont val="Calibri"/>
            <family val="2"/>
            <scheme val="minor"/>
          </rPr>
          <t>Introduzca un número con dos decimales como máximo. Debe ser igual o mayor a la "Cantidad Real Consumida"</t>
        </r>
      </text>
    </comment>
    <comment ref="E945" authorId="2" shapeId="0">
      <text>
        <r>
          <rPr>
            <sz val="11"/>
            <color theme="1"/>
            <rFont val="Calibri"/>
            <family val="2"/>
            <scheme val="minor"/>
          </rPr>
          <t>Introduzca un número con dos decimales como máximo</t>
        </r>
      </text>
    </comment>
    <comment ref="F945" authorId="2" shapeId="0">
      <text>
        <r>
          <rPr>
            <sz val="11"/>
            <color theme="1"/>
            <rFont val="Calibri"/>
            <family val="2"/>
            <scheme val="minor"/>
          </rPr>
          <t>Monto calculado automáticamente por el sistema</t>
        </r>
      </text>
    </comment>
    <comment ref="A953" authorId="1" shapeId="0">
      <text>
        <r>
          <rPr>
            <sz val="11"/>
            <color theme="1"/>
            <rFont val="Calibri"/>
            <family val="2"/>
            <scheme val="minor"/>
          </rPr>
          <t>Introducir un texto con el nombre o referencia de la contratación</t>
        </r>
      </text>
    </comment>
    <comment ref="B953" authorId="1" shapeId="0">
      <text>
        <r>
          <rPr>
            <sz val="11"/>
            <color theme="1"/>
            <rFont val="Calibri"/>
            <family val="2"/>
            <scheme val="minor"/>
          </rPr>
          <t>Introduzca un texto con la finalidad de la contratación</t>
        </r>
      </text>
    </comment>
    <comment ref="C953" authorId="1" shapeId="0">
      <text>
        <r>
          <rPr>
            <sz val="11"/>
            <color theme="1"/>
            <rFont val="Calibri"/>
            <family val="2"/>
            <scheme val="minor"/>
          </rPr>
          <t>Seleccionar un valor del listado</t>
        </r>
      </text>
    </comment>
    <comment ref="D953" authorId="1" shapeId="0">
      <text>
        <r>
          <rPr>
            <sz val="11"/>
            <color theme="1"/>
            <rFont val="Calibri"/>
            <family val="2"/>
            <scheme val="minor"/>
          </rPr>
          <t>Seleccione el tipo de procedimiento</t>
        </r>
      </text>
    </comment>
    <comment ref="E953" authorId="1" shapeId="0">
      <text>
        <r>
          <rPr>
            <sz val="11"/>
            <color theme="1"/>
            <rFont val="Calibri"/>
            <family val="2"/>
            <scheme val="minor"/>
          </rPr>
          <t>Seleccione un valor de la lista</t>
        </r>
      </text>
    </comment>
    <comment ref="F953" authorId="2" shapeId="0">
      <text>
        <r>
          <rPr>
            <sz val="11"/>
            <color theme="1"/>
            <rFont val="Calibri"/>
            <family val="2"/>
            <scheme val="minor"/>
          </rPr>
          <t>Introduzca el código SNIP</t>
        </r>
      </text>
    </comment>
    <comment ref="C954" authorId="2" shapeId="0">
      <text>
        <r>
          <rPr>
            <sz val="11"/>
            <color theme="1"/>
            <rFont val="Calibri"/>
            <family val="2"/>
            <scheme val="minor"/>
          </rPr>
          <t>Introduzca la fecha de inicio del proceso, en formato dd-mm-aaaa</t>
        </r>
      </text>
    </comment>
    <comment ref="F9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2" shapeId="0">
      <text/>
    </comment>
    <comment ref="C956" authorId="2" shapeId="0">
      <text>
        <r>
          <rPr>
            <sz val="11"/>
            <color theme="1"/>
            <rFont val="Calibri"/>
            <family val="2"/>
            <scheme val="minor"/>
          </rPr>
          <t>Introduzca la fecha prevista de adjudicación, en formato dd-mm-aaaa</t>
        </r>
      </text>
    </comment>
    <comment ref="F956" authorId="2" shapeId="0">
      <text/>
    </comment>
    <comment ref="F957" authorId="2" shapeId="0">
      <text/>
    </comment>
    <comment ref="A959" authorId="2" shapeId="0">
      <text>
        <r>
          <rPr>
            <sz val="11"/>
            <color theme="1"/>
            <rFont val="Calibri"/>
            <family val="2"/>
            <scheme val="minor"/>
          </rPr>
          <t>Introduzca un codigo UNSPSC</t>
        </r>
      </text>
    </comment>
    <comment ref="B959" authorId="2" shapeId="0">
      <text>
        <r>
          <rPr>
            <sz val="11"/>
            <color theme="1"/>
            <rFont val="Calibri"/>
            <family val="2"/>
            <scheme val="minor"/>
          </rPr>
          <t>Descripción calculada automáticamente a partir de código del artículo</t>
        </r>
      </text>
    </comment>
    <comment ref="C959" authorId="2" shapeId="0">
      <text>
        <r>
          <rPr>
            <sz val="11"/>
            <color theme="1"/>
            <rFont val="Calibri"/>
            <family val="2"/>
            <scheme val="minor"/>
          </rPr>
          <t>Seleccione un valor de la lista</t>
        </r>
      </text>
    </comment>
    <comment ref="D959" authorId="2" shapeId="0">
      <text>
        <r>
          <rPr>
            <sz val="11"/>
            <color theme="1"/>
            <rFont val="Calibri"/>
            <family val="2"/>
            <scheme val="minor"/>
          </rPr>
          <t>Introduzca un número con dos decimales como máximo. Debe ser igual o mayor a la "Cantidad Real Consumida"</t>
        </r>
      </text>
    </comment>
    <comment ref="E959" authorId="2" shapeId="0">
      <text>
        <r>
          <rPr>
            <sz val="11"/>
            <color theme="1"/>
            <rFont val="Calibri"/>
            <family val="2"/>
            <scheme val="minor"/>
          </rPr>
          <t>Introduzca un número con dos decimales como máximo</t>
        </r>
      </text>
    </comment>
    <comment ref="F959" authorId="2" shapeId="0">
      <text>
        <r>
          <rPr>
            <sz val="11"/>
            <color theme="1"/>
            <rFont val="Calibri"/>
            <family val="2"/>
            <scheme val="minor"/>
          </rPr>
          <t>Monto calculado automáticamente por el sistema</t>
        </r>
      </text>
    </comment>
    <comment ref="A964" authorId="1" shapeId="0">
      <text>
        <r>
          <rPr>
            <sz val="11"/>
            <color theme="1"/>
            <rFont val="Calibri"/>
            <family val="2"/>
            <scheme val="minor"/>
          </rPr>
          <t>Introducir un texto con el nombre o referencia de la contratación</t>
        </r>
      </text>
    </comment>
    <comment ref="B964" authorId="1" shapeId="0">
      <text>
        <r>
          <rPr>
            <sz val="11"/>
            <color theme="1"/>
            <rFont val="Calibri"/>
            <family val="2"/>
            <scheme val="minor"/>
          </rPr>
          <t>Introduzca un texto con la finalidad de la contratación</t>
        </r>
      </text>
    </comment>
    <comment ref="C964" authorId="1" shapeId="0">
      <text>
        <r>
          <rPr>
            <sz val="11"/>
            <color theme="1"/>
            <rFont val="Calibri"/>
            <family val="2"/>
            <scheme val="minor"/>
          </rPr>
          <t>Seleccionar un valor del listado</t>
        </r>
      </text>
    </comment>
    <comment ref="D964" authorId="1" shapeId="0">
      <text>
        <r>
          <rPr>
            <sz val="11"/>
            <color theme="1"/>
            <rFont val="Calibri"/>
            <family val="2"/>
            <scheme val="minor"/>
          </rPr>
          <t>Seleccione el tipo de procedimiento</t>
        </r>
      </text>
    </comment>
    <comment ref="E964" authorId="1" shapeId="0">
      <text>
        <r>
          <rPr>
            <sz val="11"/>
            <color theme="1"/>
            <rFont val="Calibri"/>
            <family val="2"/>
            <scheme val="minor"/>
          </rPr>
          <t>Seleccione un valor de la lista</t>
        </r>
      </text>
    </comment>
    <comment ref="F964" authorId="2" shapeId="0">
      <text>
        <r>
          <rPr>
            <sz val="11"/>
            <color theme="1"/>
            <rFont val="Calibri"/>
            <family val="2"/>
            <scheme val="minor"/>
          </rPr>
          <t>Introduzca el código SNIP</t>
        </r>
      </text>
    </comment>
    <comment ref="C965" authorId="2" shapeId="0">
      <text>
        <r>
          <rPr>
            <sz val="11"/>
            <color theme="1"/>
            <rFont val="Calibri"/>
            <family val="2"/>
            <scheme val="minor"/>
          </rPr>
          <t>Introduzca la fecha de inicio del proceso, en formato dd-mm-aaaa</t>
        </r>
      </text>
    </comment>
    <comment ref="F9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2" shapeId="0">
      <text/>
    </comment>
    <comment ref="C967" authorId="2" shapeId="0">
      <text>
        <r>
          <rPr>
            <sz val="11"/>
            <color theme="1"/>
            <rFont val="Calibri"/>
            <family val="2"/>
            <scheme val="minor"/>
          </rPr>
          <t>Introduzca la fecha prevista de adjudicación, en formato dd-mm-aaaa</t>
        </r>
      </text>
    </comment>
    <comment ref="F967" authorId="2" shapeId="0">
      <text/>
    </comment>
    <comment ref="F968" authorId="2" shapeId="0">
      <text/>
    </comment>
    <comment ref="A970" authorId="2" shapeId="0">
      <text>
        <r>
          <rPr>
            <sz val="11"/>
            <color theme="1"/>
            <rFont val="Calibri"/>
            <family val="2"/>
            <scheme val="minor"/>
          </rPr>
          <t>Introduzca un codigo UNSPSC</t>
        </r>
      </text>
    </comment>
    <comment ref="B970" authorId="2" shapeId="0">
      <text>
        <r>
          <rPr>
            <sz val="11"/>
            <color theme="1"/>
            <rFont val="Calibri"/>
            <family val="2"/>
            <scheme val="minor"/>
          </rPr>
          <t>Descripción calculada automáticamente a partir de código del artículo</t>
        </r>
      </text>
    </comment>
    <comment ref="C970" authorId="2" shapeId="0">
      <text>
        <r>
          <rPr>
            <sz val="11"/>
            <color theme="1"/>
            <rFont val="Calibri"/>
            <family val="2"/>
            <scheme val="minor"/>
          </rPr>
          <t>Seleccione un valor de la lista</t>
        </r>
      </text>
    </comment>
    <comment ref="D970" authorId="2" shapeId="0">
      <text>
        <r>
          <rPr>
            <sz val="11"/>
            <color theme="1"/>
            <rFont val="Calibri"/>
            <family val="2"/>
            <scheme val="minor"/>
          </rPr>
          <t>Introduzca un número con dos decimales como máximo. Debe ser igual o mayor a la "Cantidad Real Consumida"</t>
        </r>
      </text>
    </comment>
    <comment ref="E970" authorId="2" shapeId="0">
      <text>
        <r>
          <rPr>
            <sz val="11"/>
            <color theme="1"/>
            <rFont val="Calibri"/>
            <family val="2"/>
            <scheme val="minor"/>
          </rPr>
          <t>Introduzca un número con dos decimales como máximo</t>
        </r>
      </text>
    </comment>
    <comment ref="F970" authorId="2" shapeId="0">
      <text>
        <r>
          <rPr>
            <sz val="11"/>
            <color theme="1"/>
            <rFont val="Calibri"/>
            <family val="2"/>
            <scheme val="minor"/>
          </rPr>
          <t>Monto calculado automáticamente por el sistema</t>
        </r>
      </text>
    </comment>
    <comment ref="A975" authorId="1" shapeId="0">
      <text>
        <r>
          <rPr>
            <sz val="11"/>
            <color theme="1"/>
            <rFont val="Calibri"/>
            <family val="2"/>
            <scheme val="minor"/>
          </rPr>
          <t>Introducir un texto con el nombre o referencia de la contratación</t>
        </r>
      </text>
    </comment>
    <comment ref="B975" authorId="1" shapeId="0">
      <text>
        <r>
          <rPr>
            <sz val="11"/>
            <color theme="1"/>
            <rFont val="Calibri"/>
            <family val="2"/>
            <scheme val="minor"/>
          </rPr>
          <t>Introduzca un texto con la finalidad de la contratación</t>
        </r>
      </text>
    </comment>
    <comment ref="C975" authorId="1" shapeId="0">
      <text>
        <r>
          <rPr>
            <sz val="11"/>
            <color theme="1"/>
            <rFont val="Calibri"/>
            <family val="2"/>
            <scheme val="minor"/>
          </rPr>
          <t>Seleccionar un valor del listado</t>
        </r>
      </text>
    </comment>
    <comment ref="D975" authorId="1" shapeId="0">
      <text>
        <r>
          <rPr>
            <sz val="11"/>
            <color theme="1"/>
            <rFont val="Calibri"/>
            <family val="2"/>
            <scheme val="minor"/>
          </rPr>
          <t>Seleccione el tipo de procedimiento</t>
        </r>
      </text>
    </comment>
    <comment ref="E975" authorId="1" shapeId="0">
      <text>
        <r>
          <rPr>
            <sz val="11"/>
            <color theme="1"/>
            <rFont val="Calibri"/>
            <family val="2"/>
            <scheme val="minor"/>
          </rPr>
          <t>Seleccione un valor de la lista</t>
        </r>
      </text>
    </comment>
    <comment ref="F975" authorId="2" shapeId="0">
      <text>
        <r>
          <rPr>
            <sz val="11"/>
            <color theme="1"/>
            <rFont val="Calibri"/>
            <family val="2"/>
            <scheme val="minor"/>
          </rPr>
          <t>Introduzca el código SNIP</t>
        </r>
      </text>
    </comment>
    <comment ref="C976" authorId="2" shapeId="0">
      <text>
        <r>
          <rPr>
            <sz val="11"/>
            <color theme="1"/>
            <rFont val="Calibri"/>
            <family val="2"/>
            <scheme val="minor"/>
          </rPr>
          <t>Introduzca la fecha de inicio del proceso, en formato dd-mm-aaaa</t>
        </r>
      </text>
    </comment>
    <comment ref="F9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2" shapeId="0">
      <text/>
    </comment>
    <comment ref="C978" authorId="2" shapeId="0">
      <text>
        <r>
          <rPr>
            <sz val="11"/>
            <color theme="1"/>
            <rFont val="Calibri"/>
            <family val="2"/>
            <scheme val="minor"/>
          </rPr>
          <t>Introduzca la fecha prevista de adjudicación, en formato dd-mm-aaaa</t>
        </r>
      </text>
    </comment>
    <comment ref="F978" authorId="2" shapeId="0">
      <text/>
    </comment>
    <comment ref="F979" authorId="2" shapeId="0">
      <text/>
    </comment>
    <comment ref="A981" authorId="2" shapeId="0">
      <text>
        <r>
          <rPr>
            <sz val="11"/>
            <color theme="1"/>
            <rFont val="Calibri"/>
            <family val="2"/>
            <scheme val="minor"/>
          </rPr>
          <t>Introduzca un codigo UNSPSC</t>
        </r>
      </text>
    </comment>
    <comment ref="B981" authorId="2" shapeId="0">
      <text>
        <r>
          <rPr>
            <sz val="11"/>
            <color theme="1"/>
            <rFont val="Calibri"/>
            <family val="2"/>
            <scheme val="minor"/>
          </rPr>
          <t>Descripción calculada automáticamente a partir de código del artículo</t>
        </r>
      </text>
    </comment>
    <comment ref="C981" authorId="2" shapeId="0">
      <text>
        <r>
          <rPr>
            <sz val="11"/>
            <color theme="1"/>
            <rFont val="Calibri"/>
            <family val="2"/>
            <scheme val="minor"/>
          </rPr>
          <t>Seleccione un valor de la lista</t>
        </r>
      </text>
    </comment>
    <comment ref="D981" authorId="2" shapeId="0">
      <text>
        <r>
          <rPr>
            <sz val="11"/>
            <color theme="1"/>
            <rFont val="Calibri"/>
            <family val="2"/>
            <scheme val="minor"/>
          </rPr>
          <t>Introduzca un número con dos decimales como máximo. Debe ser igual o mayor a la "Cantidad Real Consumida"</t>
        </r>
      </text>
    </comment>
    <comment ref="E981" authorId="2" shapeId="0">
      <text>
        <r>
          <rPr>
            <sz val="11"/>
            <color theme="1"/>
            <rFont val="Calibri"/>
            <family val="2"/>
            <scheme val="minor"/>
          </rPr>
          <t>Introduzca un número con dos decimales como máximo</t>
        </r>
      </text>
    </comment>
    <comment ref="F981" authorId="2" shapeId="0">
      <text>
        <r>
          <rPr>
            <sz val="11"/>
            <color theme="1"/>
            <rFont val="Calibri"/>
            <family val="2"/>
            <scheme val="minor"/>
          </rPr>
          <t>Monto calculado automáticamente por el sistema</t>
        </r>
      </text>
    </comment>
    <comment ref="A986" authorId="2" shapeId="0">
      <text>
        <r>
          <rPr>
            <sz val="11"/>
            <color theme="1"/>
            <rFont val="Calibri"/>
            <family val="2"/>
            <scheme val="minor"/>
          </rPr>
          <t>Introducir un texto con el nombre o referencia de la contratación</t>
        </r>
      </text>
    </comment>
    <comment ref="B986" authorId="2" shapeId="0">
      <text>
        <r>
          <rPr>
            <sz val="11"/>
            <color theme="1"/>
            <rFont val="Calibri"/>
            <family val="2"/>
            <scheme val="minor"/>
          </rPr>
          <t>Introduzca un texto con la finalidad de la contratación</t>
        </r>
      </text>
    </comment>
    <comment ref="C986" authorId="2" shapeId="0">
      <text>
        <r>
          <rPr>
            <sz val="11"/>
            <color theme="1"/>
            <rFont val="Calibri"/>
            <family val="2"/>
            <scheme val="minor"/>
          </rPr>
          <t>Seleccionar un valor del listado</t>
        </r>
      </text>
    </comment>
    <comment ref="D986" authorId="2" shapeId="0">
      <text>
        <r>
          <rPr>
            <sz val="11"/>
            <color theme="1"/>
            <rFont val="Calibri"/>
            <family val="2"/>
            <scheme val="minor"/>
          </rPr>
          <t>Seleccione el tipo de procedimiento</t>
        </r>
      </text>
    </comment>
    <comment ref="E986" authorId="2" shapeId="0">
      <text>
        <r>
          <rPr>
            <sz val="11"/>
            <color theme="1"/>
            <rFont val="Calibri"/>
            <family val="2"/>
            <scheme val="minor"/>
          </rPr>
          <t>Seleccione un valor de la lista</t>
        </r>
      </text>
    </comment>
    <comment ref="F986" authorId="2" shapeId="0">
      <text>
        <r>
          <rPr>
            <sz val="11"/>
            <color theme="1"/>
            <rFont val="Calibri"/>
            <family val="2"/>
            <scheme val="minor"/>
          </rPr>
          <t>Introduzca el código SNIP</t>
        </r>
      </text>
    </comment>
    <comment ref="C987" authorId="2" shapeId="0">
      <text>
        <r>
          <rPr>
            <sz val="11"/>
            <color theme="1"/>
            <rFont val="Calibri"/>
            <family val="2"/>
            <scheme val="minor"/>
          </rPr>
          <t>Introduzca la fecha de inicio del proceso, en formato dd-mm-aaaa</t>
        </r>
      </text>
    </comment>
    <comment ref="F9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2" shapeId="0">
      <text/>
    </comment>
    <comment ref="C989" authorId="2" shapeId="0">
      <text>
        <r>
          <rPr>
            <sz val="11"/>
            <color theme="1"/>
            <rFont val="Calibri"/>
            <family val="2"/>
            <scheme val="minor"/>
          </rPr>
          <t>Introduzca la fecha prevista de adjudicación, en formato dd-mm-aaaa</t>
        </r>
      </text>
    </comment>
    <comment ref="F989" authorId="2" shapeId="0">
      <text/>
    </comment>
    <comment ref="F990" authorId="2" shapeId="0">
      <text/>
    </comment>
    <comment ref="A992" authorId="2" shapeId="0">
      <text>
        <r>
          <rPr>
            <sz val="11"/>
            <color theme="1"/>
            <rFont val="Calibri"/>
            <family val="2"/>
            <scheme val="minor"/>
          </rPr>
          <t>Introduzca un codigo UNSPSC</t>
        </r>
      </text>
    </comment>
    <comment ref="B992" authorId="2" shapeId="0">
      <text>
        <r>
          <rPr>
            <sz val="11"/>
            <color theme="1"/>
            <rFont val="Calibri"/>
            <family val="2"/>
            <scheme val="minor"/>
          </rPr>
          <t>Descripción calculada automáticamente a partir de código del artículo</t>
        </r>
      </text>
    </comment>
    <comment ref="C992" authorId="2" shapeId="0">
      <text>
        <r>
          <rPr>
            <sz val="11"/>
            <color theme="1"/>
            <rFont val="Calibri"/>
            <family val="2"/>
            <scheme val="minor"/>
          </rPr>
          <t>Seleccione un valor de la lista</t>
        </r>
      </text>
    </comment>
    <comment ref="D992" authorId="2" shapeId="0">
      <text>
        <r>
          <rPr>
            <sz val="11"/>
            <color theme="1"/>
            <rFont val="Calibri"/>
            <family val="2"/>
            <scheme val="minor"/>
          </rPr>
          <t>Introduzca un número con dos decimales como máximo. Debe ser igual o mayor a la "Cantidad Real Consumida"</t>
        </r>
      </text>
    </comment>
    <comment ref="E992" authorId="2" shapeId="0">
      <text>
        <r>
          <rPr>
            <sz val="11"/>
            <color theme="1"/>
            <rFont val="Calibri"/>
            <family val="2"/>
            <scheme val="minor"/>
          </rPr>
          <t>Introduzca un número con dos decimales como máximo</t>
        </r>
      </text>
    </comment>
    <comment ref="F992" authorId="2" shapeId="0">
      <text>
        <r>
          <rPr>
            <sz val="11"/>
            <color theme="1"/>
            <rFont val="Calibri"/>
            <family val="2"/>
            <scheme val="minor"/>
          </rPr>
          <t>Monto calculado automáticamente por el sistema</t>
        </r>
      </text>
    </comment>
    <comment ref="A997" authorId="1" shapeId="0">
      <text>
        <r>
          <rPr>
            <sz val="11"/>
            <color theme="1"/>
            <rFont val="Calibri"/>
            <family val="2"/>
            <scheme val="minor"/>
          </rPr>
          <t>Introducir un texto con el nombre o referencia de la contratación</t>
        </r>
      </text>
    </comment>
    <comment ref="B997" authorId="1" shapeId="0">
      <text>
        <r>
          <rPr>
            <sz val="11"/>
            <color theme="1"/>
            <rFont val="Calibri"/>
            <family val="2"/>
            <scheme val="minor"/>
          </rPr>
          <t>Introduzca un texto con la finalidad de la contratación</t>
        </r>
      </text>
    </comment>
    <comment ref="C997" authorId="1" shapeId="0">
      <text>
        <r>
          <rPr>
            <sz val="11"/>
            <color theme="1"/>
            <rFont val="Calibri"/>
            <family val="2"/>
            <scheme val="minor"/>
          </rPr>
          <t>Seleccionar un valor del listado</t>
        </r>
      </text>
    </comment>
    <comment ref="D997" authorId="1" shapeId="0">
      <text>
        <r>
          <rPr>
            <sz val="11"/>
            <color theme="1"/>
            <rFont val="Calibri"/>
            <family val="2"/>
            <scheme val="minor"/>
          </rPr>
          <t>Seleccione el tipo de procedimiento</t>
        </r>
      </text>
    </comment>
    <comment ref="E997" authorId="1" shapeId="0">
      <text>
        <r>
          <rPr>
            <sz val="11"/>
            <color theme="1"/>
            <rFont val="Calibri"/>
            <family val="2"/>
            <scheme val="minor"/>
          </rPr>
          <t>Seleccione un valor de la lista</t>
        </r>
      </text>
    </comment>
    <comment ref="F997" authorId="2" shapeId="0">
      <text>
        <r>
          <rPr>
            <sz val="11"/>
            <color theme="1"/>
            <rFont val="Calibri"/>
            <family val="2"/>
            <scheme val="minor"/>
          </rPr>
          <t>Introduzca el código SNIP</t>
        </r>
      </text>
    </comment>
    <comment ref="C998" authorId="2" shapeId="0">
      <text>
        <r>
          <rPr>
            <sz val="11"/>
            <color theme="1"/>
            <rFont val="Calibri"/>
            <family val="2"/>
            <scheme val="minor"/>
          </rPr>
          <t>Introduzca la fecha de inicio del proceso, en formato dd-mm-aaaa</t>
        </r>
      </text>
    </comment>
    <comment ref="F9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2" shapeId="0">
      <text/>
    </comment>
    <comment ref="C1000" authorId="2" shapeId="0">
      <text>
        <r>
          <rPr>
            <sz val="11"/>
            <color theme="1"/>
            <rFont val="Calibri"/>
            <family val="2"/>
            <scheme val="minor"/>
          </rPr>
          <t>Introduzca la fecha prevista de adjudicación, en formato dd-mm-aaaa</t>
        </r>
      </text>
    </comment>
    <comment ref="F1000" authorId="2" shapeId="0">
      <text/>
    </comment>
    <comment ref="F1001" authorId="2" shapeId="0">
      <text/>
    </comment>
    <comment ref="A1003" authorId="2" shapeId="0">
      <text>
        <r>
          <rPr>
            <sz val="11"/>
            <color theme="1"/>
            <rFont val="Calibri"/>
            <family val="2"/>
            <scheme val="minor"/>
          </rPr>
          <t>Introduzca un codigo UNSPSC</t>
        </r>
      </text>
    </comment>
    <comment ref="B1003" authorId="2" shapeId="0">
      <text>
        <r>
          <rPr>
            <sz val="11"/>
            <color theme="1"/>
            <rFont val="Calibri"/>
            <family val="2"/>
            <scheme val="minor"/>
          </rPr>
          <t>Descripción calculada automáticamente a partir de código del artículo</t>
        </r>
      </text>
    </comment>
    <comment ref="C1003" authorId="2" shapeId="0">
      <text>
        <r>
          <rPr>
            <sz val="11"/>
            <color theme="1"/>
            <rFont val="Calibri"/>
            <family val="2"/>
            <scheme val="minor"/>
          </rPr>
          <t>Seleccione un valor de la lista</t>
        </r>
      </text>
    </comment>
    <comment ref="D1003" authorId="2" shapeId="0">
      <text>
        <r>
          <rPr>
            <sz val="11"/>
            <color theme="1"/>
            <rFont val="Calibri"/>
            <family val="2"/>
            <scheme val="minor"/>
          </rPr>
          <t>Introduzca un número con dos decimales como máximo. Debe ser igual o mayor a la "Cantidad Real Consumida"</t>
        </r>
      </text>
    </comment>
    <comment ref="E1003" authorId="2" shapeId="0">
      <text>
        <r>
          <rPr>
            <sz val="11"/>
            <color theme="1"/>
            <rFont val="Calibri"/>
            <family val="2"/>
            <scheme val="minor"/>
          </rPr>
          <t>Introduzca un número con dos decimales como máximo</t>
        </r>
      </text>
    </comment>
    <comment ref="F1003" authorId="2" shapeId="0">
      <text>
        <r>
          <rPr>
            <sz val="11"/>
            <color theme="1"/>
            <rFont val="Calibri"/>
            <family val="2"/>
            <scheme val="minor"/>
          </rPr>
          <t>Monto calculado automáticamente por el sistema</t>
        </r>
      </text>
    </comment>
    <comment ref="A1009" authorId="1" shapeId="0">
      <text>
        <r>
          <rPr>
            <sz val="11"/>
            <color theme="1"/>
            <rFont val="Calibri"/>
            <family val="2"/>
            <scheme val="minor"/>
          </rPr>
          <t>Introducir un texto con el nombre o referencia de la contratación</t>
        </r>
      </text>
    </comment>
    <comment ref="B1009" authorId="1" shapeId="0">
      <text>
        <r>
          <rPr>
            <sz val="11"/>
            <color theme="1"/>
            <rFont val="Calibri"/>
            <family val="2"/>
            <scheme val="minor"/>
          </rPr>
          <t>Introduzca un texto con la finalidad de la contratación</t>
        </r>
      </text>
    </comment>
    <comment ref="C1009" authorId="1" shapeId="0">
      <text>
        <r>
          <rPr>
            <sz val="11"/>
            <color theme="1"/>
            <rFont val="Calibri"/>
            <family val="2"/>
            <scheme val="minor"/>
          </rPr>
          <t>Seleccionar un valor del listado</t>
        </r>
      </text>
    </comment>
    <comment ref="D1009" authorId="1" shapeId="0">
      <text>
        <r>
          <rPr>
            <sz val="11"/>
            <color theme="1"/>
            <rFont val="Calibri"/>
            <family val="2"/>
            <scheme val="minor"/>
          </rPr>
          <t>Seleccione el tipo de procedimiento</t>
        </r>
      </text>
    </comment>
    <comment ref="E1009" authorId="1" shapeId="0">
      <text>
        <r>
          <rPr>
            <sz val="11"/>
            <color theme="1"/>
            <rFont val="Calibri"/>
            <family val="2"/>
            <scheme val="minor"/>
          </rPr>
          <t>Seleccione un valor de la lista</t>
        </r>
      </text>
    </comment>
    <comment ref="F1009" authorId="2" shapeId="0">
      <text>
        <r>
          <rPr>
            <sz val="11"/>
            <color theme="1"/>
            <rFont val="Calibri"/>
            <family val="2"/>
            <scheme val="minor"/>
          </rPr>
          <t>Introduzca el código SNIP</t>
        </r>
      </text>
    </comment>
    <comment ref="C1010" authorId="2" shapeId="0">
      <text>
        <r>
          <rPr>
            <sz val="11"/>
            <color theme="1"/>
            <rFont val="Calibri"/>
            <family val="2"/>
            <scheme val="minor"/>
          </rPr>
          <t>Introduzca la fecha de inicio del proceso, en formato dd-mm-aaaa</t>
        </r>
      </text>
    </comment>
    <comment ref="F10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2" shapeId="0">
      <text/>
    </comment>
    <comment ref="C1012" authorId="2" shapeId="0">
      <text>
        <r>
          <rPr>
            <sz val="11"/>
            <color theme="1"/>
            <rFont val="Calibri"/>
            <family val="2"/>
            <scheme val="minor"/>
          </rPr>
          <t>Introduzca la fecha prevista de adjudicación, en formato dd-mm-aaaa</t>
        </r>
      </text>
    </comment>
    <comment ref="F1012" authorId="2" shapeId="0">
      <text/>
    </comment>
    <comment ref="F1013" authorId="2" shapeId="0">
      <text/>
    </comment>
    <comment ref="A1015" authorId="2" shapeId="0">
      <text>
        <r>
          <rPr>
            <sz val="11"/>
            <color theme="1"/>
            <rFont val="Calibri"/>
            <family val="2"/>
            <scheme val="minor"/>
          </rPr>
          <t>Introduzca un codigo UNSPSC</t>
        </r>
      </text>
    </comment>
    <comment ref="B1015" authorId="2" shapeId="0">
      <text>
        <r>
          <rPr>
            <sz val="11"/>
            <color theme="1"/>
            <rFont val="Calibri"/>
            <family val="2"/>
            <scheme val="minor"/>
          </rPr>
          <t>Descripción calculada automáticamente a partir de código del artículo</t>
        </r>
      </text>
    </comment>
    <comment ref="C1015" authorId="2" shapeId="0">
      <text>
        <r>
          <rPr>
            <sz val="11"/>
            <color theme="1"/>
            <rFont val="Calibri"/>
            <family val="2"/>
            <scheme val="minor"/>
          </rPr>
          <t>Seleccione un valor de la lista</t>
        </r>
      </text>
    </comment>
    <comment ref="D1015" authorId="2" shapeId="0">
      <text>
        <r>
          <rPr>
            <sz val="11"/>
            <color theme="1"/>
            <rFont val="Calibri"/>
            <family val="2"/>
            <scheme val="minor"/>
          </rPr>
          <t>Introduzca un número con dos decimales como máximo. Debe ser igual o mayor a la "Cantidad Real Consumida"</t>
        </r>
      </text>
    </comment>
    <comment ref="E1015" authorId="2" shapeId="0">
      <text>
        <r>
          <rPr>
            <sz val="11"/>
            <color theme="1"/>
            <rFont val="Calibri"/>
            <family val="2"/>
            <scheme val="minor"/>
          </rPr>
          <t>Introduzca un número con dos decimales como máximo</t>
        </r>
      </text>
    </comment>
    <comment ref="F1015" authorId="2" shapeId="0">
      <text>
        <r>
          <rPr>
            <sz val="11"/>
            <color theme="1"/>
            <rFont val="Calibri"/>
            <family val="2"/>
            <scheme val="minor"/>
          </rPr>
          <t>Monto calculado automáticamente por el sistema</t>
        </r>
      </text>
    </comment>
    <comment ref="A1020" authorId="1" shapeId="0">
      <text>
        <r>
          <rPr>
            <sz val="11"/>
            <color theme="1"/>
            <rFont val="Calibri"/>
            <family val="2"/>
            <scheme val="minor"/>
          </rPr>
          <t>Introducir un texto con el nombre o referencia de la contratación</t>
        </r>
      </text>
    </comment>
    <comment ref="B1020" authorId="1" shapeId="0">
      <text>
        <r>
          <rPr>
            <sz val="11"/>
            <color theme="1"/>
            <rFont val="Calibri"/>
            <family val="2"/>
            <scheme val="minor"/>
          </rPr>
          <t>Introduzca un texto con la finalidad de la contratación</t>
        </r>
      </text>
    </comment>
    <comment ref="C1020" authorId="1" shapeId="0">
      <text>
        <r>
          <rPr>
            <sz val="11"/>
            <color theme="1"/>
            <rFont val="Calibri"/>
            <family val="2"/>
            <scheme val="minor"/>
          </rPr>
          <t>Seleccionar un valor del listado</t>
        </r>
      </text>
    </comment>
    <comment ref="D1020" authorId="1" shapeId="0">
      <text>
        <r>
          <rPr>
            <sz val="11"/>
            <color theme="1"/>
            <rFont val="Calibri"/>
            <family val="2"/>
            <scheme val="minor"/>
          </rPr>
          <t>Seleccione el tipo de procedimiento</t>
        </r>
      </text>
    </comment>
    <comment ref="E1020" authorId="1" shapeId="0">
      <text>
        <r>
          <rPr>
            <sz val="11"/>
            <color theme="1"/>
            <rFont val="Calibri"/>
            <family val="2"/>
            <scheme val="minor"/>
          </rPr>
          <t>Seleccione un valor de la lista</t>
        </r>
      </text>
    </comment>
    <comment ref="F1020" authorId="2" shapeId="0">
      <text>
        <r>
          <rPr>
            <sz val="11"/>
            <color theme="1"/>
            <rFont val="Calibri"/>
            <family val="2"/>
            <scheme val="minor"/>
          </rPr>
          <t>Introduzca el código SNIP</t>
        </r>
      </text>
    </comment>
    <comment ref="C1021" authorId="2" shapeId="0">
      <text>
        <r>
          <rPr>
            <sz val="11"/>
            <color theme="1"/>
            <rFont val="Calibri"/>
            <family val="2"/>
            <scheme val="minor"/>
          </rPr>
          <t>Introduzca la fecha de inicio del proceso, en formato dd-mm-aaaa</t>
        </r>
      </text>
    </comment>
    <comment ref="F10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2" shapeId="0">
      <text/>
    </comment>
    <comment ref="C1023" authorId="2" shapeId="0">
      <text>
        <r>
          <rPr>
            <sz val="11"/>
            <color theme="1"/>
            <rFont val="Calibri"/>
            <family val="2"/>
            <scheme val="minor"/>
          </rPr>
          <t>Introduzca la fecha prevista de adjudicación, en formato dd-mm-aaaa</t>
        </r>
      </text>
    </comment>
    <comment ref="F1023" authorId="2" shapeId="0">
      <text/>
    </comment>
    <comment ref="F1024" authorId="2" shapeId="0">
      <text/>
    </comment>
    <comment ref="A1026" authorId="2" shapeId="0">
      <text>
        <r>
          <rPr>
            <sz val="11"/>
            <color theme="1"/>
            <rFont val="Calibri"/>
            <family val="2"/>
            <scheme val="minor"/>
          </rPr>
          <t>Introduzca un codigo UNSPSC</t>
        </r>
      </text>
    </comment>
    <comment ref="B1026" authorId="2" shapeId="0">
      <text>
        <r>
          <rPr>
            <sz val="11"/>
            <color theme="1"/>
            <rFont val="Calibri"/>
            <family val="2"/>
            <scheme val="minor"/>
          </rPr>
          <t>Descripción calculada automáticamente a partir de código del artículo</t>
        </r>
      </text>
    </comment>
    <comment ref="C1026" authorId="2" shapeId="0">
      <text>
        <r>
          <rPr>
            <sz val="11"/>
            <color theme="1"/>
            <rFont val="Calibri"/>
            <family val="2"/>
            <scheme val="minor"/>
          </rPr>
          <t>Seleccione un valor de la lista</t>
        </r>
      </text>
    </comment>
    <comment ref="D1026" authorId="2" shapeId="0">
      <text>
        <r>
          <rPr>
            <sz val="11"/>
            <color theme="1"/>
            <rFont val="Calibri"/>
            <family val="2"/>
            <scheme val="minor"/>
          </rPr>
          <t>Introduzca un número con dos decimales como máximo. Debe ser igual o mayor a la "Cantidad Real Consumida"</t>
        </r>
      </text>
    </comment>
    <comment ref="E1026" authorId="2" shapeId="0">
      <text>
        <r>
          <rPr>
            <sz val="11"/>
            <color theme="1"/>
            <rFont val="Calibri"/>
            <family val="2"/>
            <scheme val="minor"/>
          </rPr>
          <t>Introduzca un número con dos decimales como máximo</t>
        </r>
      </text>
    </comment>
    <comment ref="F1026" authorId="2" shapeId="0">
      <text>
        <r>
          <rPr>
            <sz val="11"/>
            <color theme="1"/>
            <rFont val="Calibri"/>
            <family val="2"/>
            <scheme val="minor"/>
          </rPr>
          <t>Monto calculado automáticamente por el sistema</t>
        </r>
      </text>
    </comment>
    <comment ref="A1054" authorId="2" shapeId="0">
      <text>
        <r>
          <rPr>
            <sz val="11"/>
            <color theme="1"/>
            <rFont val="Calibri"/>
            <family val="2"/>
            <scheme val="minor"/>
          </rPr>
          <t>Introducir un texto con el nombre o referencia de la contratación</t>
        </r>
      </text>
    </comment>
    <comment ref="B1054" authorId="2" shapeId="0">
      <text>
        <r>
          <rPr>
            <sz val="11"/>
            <color theme="1"/>
            <rFont val="Calibri"/>
            <family val="2"/>
            <scheme val="minor"/>
          </rPr>
          <t>Introduzca un texto con la finalidad de la contratación</t>
        </r>
      </text>
    </comment>
    <comment ref="C1054" authorId="2" shapeId="0">
      <text>
        <r>
          <rPr>
            <sz val="11"/>
            <color theme="1"/>
            <rFont val="Calibri"/>
            <family val="2"/>
            <scheme val="minor"/>
          </rPr>
          <t>Seleccionar un valor del listado</t>
        </r>
      </text>
    </comment>
    <comment ref="D1054" authorId="2" shapeId="0">
      <text>
        <r>
          <rPr>
            <sz val="11"/>
            <color theme="1"/>
            <rFont val="Calibri"/>
            <family val="2"/>
            <scheme val="minor"/>
          </rPr>
          <t>Seleccione el tipo de procedimiento</t>
        </r>
      </text>
    </comment>
    <comment ref="E1054" authorId="2" shapeId="0">
      <text>
        <r>
          <rPr>
            <sz val="11"/>
            <color theme="1"/>
            <rFont val="Calibri"/>
            <family val="2"/>
            <scheme val="minor"/>
          </rPr>
          <t>Seleccione un valor de la lista</t>
        </r>
      </text>
    </comment>
    <comment ref="F1054" authorId="2" shapeId="0">
      <text>
        <r>
          <rPr>
            <sz val="11"/>
            <color theme="1"/>
            <rFont val="Calibri"/>
            <family val="2"/>
            <scheme val="minor"/>
          </rPr>
          <t>Introduzca el código SNIP</t>
        </r>
      </text>
    </comment>
    <comment ref="C1055" authorId="2" shapeId="0">
      <text>
        <r>
          <rPr>
            <sz val="11"/>
            <color theme="1"/>
            <rFont val="Calibri"/>
            <family val="2"/>
            <scheme val="minor"/>
          </rPr>
          <t>Introduzca la fecha de inicio del proceso, en formato dd-mm-aaaa</t>
        </r>
      </text>
    </comment>
    <comment ref="F10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2" shapeId="0">
      <text/>
    </comment>
    <comment ref="C1057" authorId="2" shapeId="0">
      <text>
        <r>
          <rPr>
            <sz val="11"/>
            <color theme="1"/>
            <rFont val="Calibri"/>
            <family val="2"/>
            <scheme val="minor"/>
          </rPr>
          <t>Introduzca la fecha prevista de adjudicación, en formato dd-mm-aaaa</t>
        </r>
      </text>
    </comment>
    <comment ref="F1057" authorId="2" shapeId="0">
      <text/>
    </comment>
    <comment ref="F1058" authorId="2" shapeId="0">
      <text/>
    </comment>
    <comment ref="A1060" authorId="2" shapeId="0">
      <text>
        <r>
          <rPr>
            <sz val="11"/>
            <color theme="1"/>
            <rFont val="Calibri"/>
            <family val="2"/>
            <scheme val="minor"/>
          </rPr>
          <t>Introduzca un codigo UNSPSC</t>
        </r>
      </text>
    </comment>
    <comment ref="B1060" authorId="2" shapeId="0">
      <text>
        <r>
          <rPr>
            <sz val="11"/>
            <color theme="1"/>
            <rFont val="Calibri"/>
            <family val="2"/>
            <scheme val="minor"/>
          </rPr>
          <t>Descripción calculada automáticamente a partir de código del artículo</t>
        </r>
      </text>
    </comment>
    <comment ref="C1060" authorId="2" shapeId="0">
      <text>
        <r>
          <rPr>
            <sz val="11"/>
            <color theme="1"/>
            <rFont val="Calibri"/>
            <family val="2"/>
            <scheme val="minor"/>
          </rPr>
          <t>Seleccione un valor de la lista</t>
        </r>
      </text>
    </comment>
    <comment ref="D1060" authorId="2" shapeId="0">
      <text>
        <r>
          <rPr>
            <sz val="11"/>
            <color theme="1"/>
            <rFont val="Calibri"/>
            <family val="2"/>
            <scheme val="minor"/>
          </rPr>
          <t>Introduzca un número con dos decimales como máximo. Debe ser igual o mayor a la "Cantidad Real Consumida"</t>
        </r>
      </text>
    </comment>
    <comment ref="E1060" authorId="2" shapeId="0">
      <text>
        <r>
          <rPr>
            <sz val="11"/>
            <color theme="1"/>
            <rFont val="Calibri"/>
            <family val="2"/>
            <scheme val="minor"/>
          </rPr>
          <t>Introduzca un número con dos decimales como máximo</t>
        </r>
      </text>
    </comment>
    <comment ref="F1060" authorId="2" shapeId="0">
      <text>
        <r>
          <rPr>
            <sz val="11"/>
            <color theme="1"/>
            <rFont val="Calibri"/>
            <family val="2"/>
            <scheme val="minor"/>
          </rPr>
          <t>Monto calculado automáticamente por el sistema</t>
        </r>
      </text>
    </comment>
    <comment ref="A1070" authorId="2" shapeId="0">
      <text>
        <r>
          <rPr>
            <sz val="11"/>
            <color theme="1"/>
            <rFont val="Calibri"/>
            <family val="2"/>
            <scheme val="minor"/>
          </rPr>
          <t>Introducir un texto con el nombre o referencia de la contratación</t>
        </r>
      </text>
    </comment>
    <comment ref="B1070" authorId="2" shapeId="0">
      <text>
        <r>
          <rPr>
            <sz val="11"/>
            <color theme="1"/>
            <rFont val="Calibri"/>
            <family val="2"/>
            <scheme val="minor"/>
          </rPr>
          <t>Introduzca un texto con la finalidad de la contratación</t>
        </r>
      </text>
    </comment>
    <comment ref="C1070" authorId="2" shapeId="0">
      <text>
        <r>
          <rPr>
            <sz val="11"/>
            <color theme="1"/>
            <rFont val="Calibri"/>
            <family val="2"/>
            <scheme val="minor"/>
          </rPr>
          <t>Seleccionar un valor del listado</t>
        </r>
      </text>
    </comment>
    <comment ref="D1070" authorId="2" shapeId="0">
      <text>
        <r>
          <rPr>
            <sz val="11"/>
            <color theme="1"/>
            <rFont val="Calibri"/>
            <family val="2"/>
            <scheme val="minor"/>
          </rPr>
          <t>Seleccione el tipo de procedimiento</t>
        </r>
      </text>
    </comment>
    <comment ref="E1070" authorId="2" shapeId="0">
      <text>
        <r>
          <rPr>
            <sz val="11"/>
            <color theme="1"/>
            <rFont val="Calibri"/>
            <family val="2"/>
            <scheme val="minor"/>
          </rPr>
          <t>Seleccione un valor de la lista</t>
        </r>
      </text>
    </comment>
    <comment ref="F1070" authorId="2" shapeId="0">
      <text>
        <r>
          <rPr>
            <sz val="11"/>
            <color theme="1"/>
            <rFont val="Calibri"/>
            <family val="2"/>
            <scheme val="minor"/>
          </rPr>
          <t>Introduzca el código SNIP</t>
        </r>
      </text>
    </comment>
    <comment ref="C1071" authorId="2" shapeId="0">
      <text>
        <r>
          <rPr>
            <sz val="11"/>
            <color theme="1"/>
            <rFont val="Calibri"/>
            <family val="2"/>
            <scheme val="minor"/>
          </rPr>
          <t>Introduzca la fecha de inicio del proceso, en formato dd-mm-aaaa</t>
        </r>
      </text>
    </comment>
    <comment ref="F10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2" shapeId="0">
      <text/>
    </comment>
    <comment ref="C1073" authorId="2" shapeId="0">
      <text>
        <r>
          <rPr>
            <sz val="11"/>
            <color theme="1"/>
            <rFont val="Calibri"/>
            <family val="2"/>
            <scheme val="minor"/>
          </rPr>
          <t>Introduzca la fecha prevista de adjudicación, en formato dd-mm-aaaa</t>
        </r>
      </text>
    </comment>
    <comment ref="F1073" authorId="2" shapeId="0">
      <text/>
    </comment>
    <comment ref="F1074" authorId="2" shapeId="0">
      <text/>
    </comment>
    <comment ref="A1076" authorId="2" shapeId="0">
      <text>
        <r>
          <rPr>
            <sz val="11"/>
            <color theme="1"/>
            <rFont val="Calibri"/>
            <family val="2"/>
            <scheme val="minor"/>
          </rPr>
          <t>Introduzca un codigo UNSPSC</t>
        </r>
      </text>
    </comment>
    <comment ref="B1076" authorId="2" shapeId="0">
      <text>
        <r>
          <rPr>
            <sz val="11"/>
            <color theme="1"/>
            <rFont val="Calibri"/>
            <family val="2"/>
            <scheme val="minor"/>
          </rPr>
          <t>Descripción calculada automáticamente a partir de código del artículo</t>
        </r>
      </text>
    </comment>
    <comment ref="C1076" authorId="2" shapeId="0">
      <text>
        <r>
          <rPr>
            <sz val="11"/>
            <color theme="1"/>
            <rFont val="Calibri"/>
            <family val="2"/>
            <scheme val="minor"/>
          </rPr>
          <t>Seleccione un valor de la lista</t>
        </r>
      </text>
    </comment>
    <comment ref="D1076" authorId="2" shapeId="0">
      <text>
        <r>
          <rPr>
            <sz val="11"/>
            <color theme="1"/>
            <rFont val="Calibri"/>
            <family val="2"/>
            <scheme val="minor"/>
          </rPr>
          <t>Introduzca un número con dos decimales como máximo. Debe ser igual o mayor a la "Cantidad Real Consumida"</t>
        </r>
      </text>
    </comment>
    <comment ref="E1076" authorId="2" shapeId="0">
      <text>
        <r>
          <rPr>
            <sz val="11"/>
            <color theme="1"/>
            <rFont val="Calibri"/>
            <family val="2"/>
            <scheme val="minor"/>
          </rPr>
          <t>Introduzca un número con dos decimales como máximo</t>
        </r>
      </text>
    </comment>
    <comment ref="F1076" authorId="2" shapeId="0">
      <text>
        <r>
          <rPr>
            <sz val="11"/>
            <color theme="1"/>
            <rFont val="Calibri"/>
            <family val="2"/>
            <scheme val="minor"/>
          </rPr>
          <t>Monto calculado automáticamente por el sistema</t>
        </r>
      </text>
    </comment>
    <comment ref="A1096" authorId="2" shapeId="0">
      <text>
        <r>
          <rPr>
            <sz val="11"/>
            <color theme="1"/>
            <rFont val="Calibri"/>
            <family val="2"/>
            <scheme val="minor"/>
          </rPr>
          <t>Introducir un texto con el nombre o referencia de la contratación</t>
        </r>
      </text>
    </comment>
    <comment ref="B1096" authorId="2" shapeId="0">
      <text>
        <r>
          <rPr>
            <sz val="11"/>
            <color theme="1"/>
            <rFont val="Calibri"/>
            <family val="2"/>
            <scheme val="minor"/>
          </rPr>
          <t>Introduzca un texto con la finalidad de la contratación</t>
        </r>
      </text>
    </comment>
    <comment ref="C1096" authorId="2" shapeId="0">
      <text>
        <r>
          <rPr>
            <sz val="11"/>
            <color theme="1"/>
            <rFont val="Calibri"/>
            <family val="2"/>
            <scheme val="minor"/>
          </rPr>
          <t>Seleccionar un valor del listado</t>
        </r>
      </text>
    </comment>
    <comment ref="D1096" authorId="2" shapeId="0">
      <text>
        <r>
          <rPr>
            <sz val="11"/>
            <color theme="1"/>
            <rFont val="Calibri"/>
            <family val="2"/>
            <scheme val="minor"/>
          </rPr>
          <t>Seleccione el tipo de procedimiento</t>
        </r>
      </text>
    </comment>
    <comment ref="E1096" authorId="2" shapeId="0">
      <text>
        <r>
          <rPr>
            <sz val="11"/>
            <color theme="1"/>
            <rFont val="Calibri"/>
            <family val="2"/>
            <scheme val="minor"/>
          </rPr>
          <t>Seleccione un valor de la lista</t>
        </r>
      </text>
    </comment>
    <comment ref="F1096" authorId="2" shapeId="0">
      <text>
        <r>
          <rPr>
            <sz val="11"/>
            <color theme="1"/>
            <rFont val="Calibri"/>
            <family val="2"/>
            <scheme val="minor"/>
          </rPr>
          <t>Introduzca el código SNIP</t>
        </r>
      </text>
    </comment>
    <comment ref="C1097" authorId="2" shapeId="0">
      <text>
        <r>
          <rPr>
            <sz val="11"/>
            <color theme="1"/>
            <rFont val="Calibri"/>
            <family val="2"/>
            <scheme val="minor"/>
          </rPr>
          <t>Introduzca la fecha de inicio del proceso, en formato dd-mm-aaaa</t>
        </r>
      </text>
    </comment>
    <comment ref="F10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2" shapeId="0">
      <text/>
    </comment>
    <comment ref="C1099" authorId="2" shapeId="0">
      <text>
        <r>
          <rPr>
            <sz val="11"/>
            <color theme="1"/>
            <rFont val="Calibri"/>
            <family val="2"/>
            <scheme val="minor"/>
          </rPr>
          <t>Introduzca la fecha prevista de adjudicación, en formato dd-mm-aaaa</t>
        </r>
      </text>
    </comment>
    <comment ref="F1099" authorId="2" shapeId="0">
      <text/>
    </comment>
    <comment ref="F1100" authorId="2" shapeId="0">
      <text/>
    </comment>
    <comment ref="A1102" authorId="2" shapeId="0">
      <text>
        <r>
          <rPr>
            <sz val="11"/>
            <color theme="1"/>
            <rFont val="Calibri"/>
            <family val="2"/>
            <scheme val="minor"/>
          </rPr>
          <t>Introduzca un codigo UNSPSC</t>
        </r>
      </text>
    </comment>
    <comment ref="B1102" authorId="2" shapeId="0">
      <text>
        <r>
          <rPr>
            <sz val="11"/>
            <color theme="1"/>
            <rFont val="Calibri"/>
            <family val="2"/>
            <scheme val="minor"/>
          </rPr>
          <t>Descripción calculada automáticamente a partir de código del artículo</t>
        </r>
      </text>
    </comment>
    <comment ref="C1102" authorId="2" shapeId="0">
      <text>
        <r>
          <rPr>
            <sz val="11"/>
            <color theme="1"/>
            <rFont val="Calibri"/>
            <family val="2"/>
            <scheme val="minor"/>
          </rPr>
          <t>Seleccione un valor de la lista</t>
        </r>
      </text>
    </comment>
    <comment ref="D1102" authorId="2" shapeId="0">
      <text>
        <r>
          <rPr>
            <sz val="11"/>
            <color theme="1"/>
            <rFont val="Calibri"/>
            <family val="2"/>
            <scheme val="minor"/>
          </rPr>
          <t>Introduzca un número con dos decimales como máximo. Debe ser igual o mayor a la "Cantidad Real Consumida"</t>
        </r>
      </text>
    </comment>
    <comment ref="E1102" authorId="2" shapeId="0">
      <text>
        <r>
          <rPr>
            <sz val="11"/>
            <color theme="1"/>
            <rFont val="Calibri"/>
            <family val="2"/>
            <scheme val="minor"/>
          </rPr>
          <t>Introduzca un número con dos decimales como máximo</t>
        </r>
      </text>
    </comment>
    <comment ref="F1102" authorId="2" shapeId="0">
      <text>
        <r>
          <rPr>
            <sz val="11"/>
            <color theme="1"/>
            <rFont val="Calibri"/>
            <family val="2"/>
            <scheme val="minor"/>
          </rPr>
          <t>Monto calculado automáticamente por el sistema</t>
        </r>
      </text>
    </comment>
    <comment ref="A1108" authorId="2" shapeId="0">
      <text>
        <r>
          <rPr>
            <sz val="11"/>
            <color theme="1"/>
            <rFont val="Calibri"/>
            <family val="2"/>
            <scheme val="minor"/>
          </rPr>
          <t>Introducir un texto con el nombre o referencia de la contratación</t>
        </r>
      </text>
    </comment>
    <comment ref="B1108" authorId="2" shapeId="0">
      <text>
        <r>
          <rPr>
            <sz val="11"/>
            <color theme="1"/>
            <rFont val="Calibri"/>
            <family val="2"/>
            <scheme val="minor"/>
          </rPr>
          <t>Introduzca un texto con la finalidad de la contratación</t>
        </r>
      </text>
    </comment>
    <comment ref="C1108" authorId="2" shapeId="0">
      <text>
        <r>
          <rPr>
            <sz val="11"/>
            <color theme="1"/>
            <rFont val="Calibri"/>
            <family val="2"/>
            <scheme val="minor"/>
          </rPr>
          <t>Seleccionar un valor del listado</t>
        </r>
      </text>
    </comment>
    <comment ref="D1108" authorId="2" shapeId="0">
      <text>
        <r>
          <rPr>
            <sz val="11"/>
            <color theme="1"/>
            <rFont val="Calibri"/>
            <family val="2"/>
            <scheme val="minor"/>
          </rPr>
          <t>Seleccione el tipo de procedimiento</t>
        </r>
      </text>
    </comment>
    <comment ref="E1108" authorId="2" shapeId="0">
      <text>
        <r>
          <rPr>
            <sz val="11"/>
            <color theme="1"/>
            <rFont val="Calibri"/>
            <family val="2"/>
            <scheme val="minor"/>
          </rPr>
          <t>Seleccione un valor de la lista</t>
        </r>
      </text>
    </comment>
    <comment ref="F1108" authorId="2" shapeId="0">
      <text>
        <r>
          <rPr>
            <sz val="11"/>
            <color theme="1"/>
            <rFont val="Calibri"/>
            <family val="2"/>
            <scheme val="minor"/>
          </rPr>
          <t>Introduzca el código SNIP</t>
        </r>
      </text>
    </comment>
    <comment ref="C1109" authorId="2" shapeId="0">
      <text>
        <r>
          <rPr>
            <sz val="11"/>
            <color theme="1"/>
            <rFont val="Calibri"/>
            <family val="2"/>
            <scheme val="minor"/>
          </rPr>
          <t>Introduzca la fecha de inicio del proceso, en formato dd-mm-aaaa</t>
        </r>
      </text>
    </comment>
    <comment ref="F11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2" shapeId="0">
      <text/>
    </comment>
    <comment ref="C1111" authorId="2" shapeId="0">
      <text>
        <r>
          <rPr>
            <sz val="11"/>
            <color theme="1"/>
            <rFont val="Calibri"/>
            <family val="2"/>
            <scheme val="minor"/>
          </rPr>
          <t>Introduzca la fecha prevista de adjudicación, en formato dd-mm-aaaa</t>
        </r>
      </text>
    </comment>
    <comment ref="F1111" authorId="2" shapeId="0">
      <text/>
    </comment>
    <comment ref="F1112" authorId="2" shapeId="0">
      <text/>
    </comment>
    <comment ref="A1114" authorId="2" shapeId="0">
      <text>
        <r>
          <rPr>
            <sz val="11"/>
            <color theme="1"/>
            <rFont val="Calibri"/>
            <family val="2"/>
            <scheme val="minor"/>
          </rPr>
          <t>Introduzca un codigo UNSPSC</t>
        </r>
      </text>
    </comment>
    <comment ref="B1114" authorId="2" shapeId="0">
      <text>
        <r>
          <rPr>
            <sz val="11"/>
            <color theme="1"/>
            <rFont val="Calibri"/>
            <family val="2"/>
            <scheme val="minor"/>
          </rPr>
          <t>Descripción calculada automáticamente a partir de código del artículo</t>
        </r>
      </text>
    </comment>
    <comment ref="C1114" authorId="2" shapeId="0">
      <text>
        <r>
          <rPr>
            <sz val="11"/>
            <color theme="1"/>
            <rFont val="Calibri"/>
            <family val="2"/>
            <scheme val="minor"/>
          </rPr>
          <t>Seleccione un valor de la lista</t>
        </r>
      </text>
    </comment>
    <comment ref="D1114" authorId="2" shapeId="0">
      <text>
        <r>
          <rPr>
            <sz val="11"/>
            <color theme="1"/>
            <rFont val="Calibri"/>
            <family val="2"/>
            <scheme val="minor"/>
          </rPr>
          <t>Introduzca un número con dos decimales como máximo. Debe ser igual o mayor a la "Cantidad Real Consumida"</t>
        </r>
      </text>
    </comment>
    <comment ref="E1114" authorId="2" shapeId="0">
      <text>
        <r>
          <rPr>
            <sz val="11"/>
            <color theme="1"/>
            <rFont val="Calibri"/>
            <family val="2"/>
            <scheme val="minor"/>
          </rPr>
          <t>Introduzca un número con dos decimales como máximo</t>
        </r>
      </text>
    </comment>
    <comment ref="F1114" authorId="2" shapeId="0">
      <text>
        <r>
          <rPr>
            <sz val="11"/>
            <color theme="1"/>
            <rFont val="Calibri"/>
            <family val="2"/>
            <scheme val="minor"/>
          </rPr>
          <t>Monto calculado automáticamente por el sistema</t>
        </r>
      </text>
    </comment>
    <comment ref="A1135" authorId="2" shapeId="0">
      <text>
        <r>
          <rPr>
            <sz val="11"/>
            <color theme="1"/>
            <rFont val="Calibri"/>
            <family val="2"/>
            <scheme val="minor"/>
          </rPr>
          <t>Introducir un texto con el nombre o referencia de la contratación</t>
        </r>
      </text>
    </comment>
    <comment ref="B1135" authorId="2" shapeId="0">
      <text>
        <r>
          <rPr>
            <sz val="11"/>
            <color theme="1"/>
            <rFont val="Calibri"/>
            <family val="2"/>
            <scheme val="minor"/>
          </rPr>
          <t>Introduzca un texto con la finalidad de la contratación</t>
        </r>
      </text>
    </comment>
    <comment ref="C1135" authorId="2" shapeId="0">
      <text>
        <r>
          <rPr>
            <sz val="11"/>
            <color theme="1"/>
            <rFont val="Calibri"/>
            <family val="2"/>
            <scheme val="minor"/>
          </rPr>
          <t>Seleccionar un valor del listado</t>
        </r>
      </text>
    </comment>
    <comment ref="D1135" authorId="2" shapeId="0">
      <text>
        <r>
          <rPr>
            <sz val="11"/>
            <color theme="1"/>
            <rFont val="Calibri"/>
            <family val="2"/>
            <scheme val="minor"/>
          </rPr>
          <t>Seleccione el tipo de procedimiento</t>
        </r>
      </text>
    </comment>
    <comment ref="E1135" authorId="2" shapeId="0">
      <text>
        <r>
          <rPr>
            <sz val="11"/>
            <color theme="1"/>
            <rFont val="Calibri"/>
            <family val="2"/>
            <scheme val="minor"/>
          </rPr>
          <t>Seleccione un valor de la lista</t>
        </r>
      </text>
    </comment>
    <comment ref="F1135" authorId="2" shapeId="0">
      <text>
        <r>
          <rPr>
            <sz val="11"/>
            <color theme="1"/>
            <rFont val="Calibri"/>
            <family val="2"/>
            <scheme val="minor"/>
          </rPr>
          <t>Introduzca el código SNIP</t>
        </r>
      </text>
    </comment>
    <comment ref="C1136" authorId="2" shapeId="0">
      <text>
        <r>
          <rPr>
            <sz val="11"/>
            <color theme="1"/>
            <rFont val="Calibri"/>
            <family val="2"/>
            <scheme val="minor"/>
          </rPr>
          <t>Introduzca la fecha de inicio del proceso, en formato dd-mm-aaaa</t>
        </r>
      </text>
    </comment>
    <comment ref="F11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2" shapeId="0">
      <text/>
    </comment>
    <comment ref="C1138" authorId="2" shapeId="0">
      <text>
        <r>
          <rPr>
            <sz val="11"/>
            <color theme="1"/>
            <rFont val="Calibri"/>
            <family val="2"/>
            <scheme val="minor"/>
          </rPr>
          <t>Introduzca la fecha prevista de adjudicación, en formato dd-mm-aaaa</t>
        </r>
      </text>
    </comment>
    <comment ref="F1138" authorId="2" shapeId="0">
      <text/>
    </comment>
    <comment ref="F1139" authorId="2" shapeId="0">
      <text/>
    </comment>
    <comment ref="A1141" authorId="2" shapeId="0">
      <text>
        <r>
          <rPr>
            <sz val="11"/>
            <color theme="1"/>
            <rFont val="Calibri"/>
            <family val="2"/>
            <scheme val="minor"/>
          </rPr>
          <t>Introduzca un codigo UNSPSC</t>
        </r>
      </text>
    </comment>
    <comment ref="B1141" authorId="2" shapeId="0">
      <text>
        <r>
          <rPr>
            <sz val="11"/>
            <color theme="1"/>
            <rFont val="Calibri"/>
            <family val="2"/>
            <scheme val="minor"/>
          </rPr>
          <t>Descripción calculada automáticamente a partir de código del artículo</t>
        </r>
      </text>
    </comment>
    <comment ref="C1141" authorId="2" shapeId="0">
      <text>
        <r>
          <rPr>
            <sz val="11"/>
            <color theme="1"/>
            <rFont val="Calibri"/>
            <family val="2"/>
            <scheme val="minor"/>
          </rPr>
          <t>Seleccione un valor de la lista</t>
        </r>
      </text>
    </comment>
    <comment ref="D1141" authorId="2" shapeId="0">
      <text>
        <r>
          <rPr>
            <sz val="11"/>
            <color theme="1"/>
            <rFont val="Calibri"/>
            <family val="2"/>
            <scheme val="minor"/>
          </rPr>
          <t>Introduzca un número con dos decimales como máximo. Debe ser igual o mayor a la "Cantidad Real Consumida"</t>
        </r>
      </text>
    </comment>
    <comment ref="E1141" authorId="2" shapeId="0">
      <text>
        <r>
          <rPr>
            <sz val="11"/>
            <color theme="1"/>
            <rFont val="Calibri"/>
            <family val="2"/>
            <scheme val="minor"/>
          </rPr>
          <t>Introduzca un número con dos decimales como máximo</t>
        </r>
      </text>
    </comment>
    <comment ref="F1141" authorId="2" shapeId="0">
      <text>
        <r>
          <rPr>
            <sz val="11"/>
            <color theme="1"/>
            <rFont val="Calibri"/>
            <family val="2"/>
            <scheme val="minor"/>
          </rPr>
          <t>Monto calculado automáticamente por el sistema</t>
        </r>
      </text>
    </comment>
    <comment ref="A1149" authorId="2" shapeId="0">
      <text>
        <r>
          <rPr>
            <sz val="11"/>
            <color theme="1"/>
            <rFont val="Calibri"/>
            <family val="2"/>
            <scheme val="minor"/>
          </rPr>
          <t>Introducir un texto con el nombre o referencia de la contratación</t>
        </r>
      </text>
    </comment>
    <comment ref="B1149" authorId="2" shapeId="0">
      <text>
        <r>
          <rPr>
            <sz val="11"/>
            <color theme="1"/>
            <rFont val="Calibri"/>
            <family val="2"/>
            <scheme val="minor"/>
          </rPr>
          <t>Introduzca un texto con la finalidad de la contratación</t>
        </r>
      </text>
    </comment>
    <comment ref="C1149" authorId="2" shapeId="0">
      <text>
        <r>
          <rPr>
            <sz val="11"/>
            <color theme="1"/>
            <rFont val="Calibri"/>
            <family val="2"/>
            <scheme val="minor"/>
          </rPr>
          <t>Seleccionar un valor del listado</t>
        </r>
      </text>
    </comment>
    <comment ref="D1149" authorId="2" shapeId="0">
      <text>
        <r>
          <rPr>
            <sz val="11"/>
            <color theme="1"/>
            <rFont val="Calibri"/>
            <family val="2"/>
            <scheme val="minor"/>
          </rPr>
          <t>Seleccione el tipo de procedimiento</t>
        </r>
      </text>
    </comment>
    <comment ref="E1149" authorId="2" shapeId="0">
      <text>
        <r>
          <rPr>
            <sz val="11"/>
            <color theme="1"/>
            <rFont val="Calibri"/>
            <family val="2"/>
            <scheme val="minor"/>
          </rPr>
          <t>Seleccione un valor de la lista</t>
        </r>
      </text>
    </comment>
    <comment ref="F1149" authorId="2" shapeId="0">
      <text>
        <r>
          <rPr>
            <sz val="11"/>
            <color theme="1"/>
            <rFont val="Calibri"/>
            <family val="2"/>
            <scheme val="minor"/>
          </rPr>
          <t>Introduzca el código SNIP</t>
        </r>
      </text>
    </comment>
    <comment ref="C1150" authorId="2" shapeId="0">
      <text>
        <r>
          <rPr>
            <sz val="11"/>
            <color theme="1"/>
            <rFont val="Calibri"/>
            <family val="2"/>
            <scheme val="minor"/>
          </rPr>
          <t>Introduzca la fecha de inicio del proceso, en formato dd-mm-aaaa</t>
        </r>
      </text>
    </comment>
    <comment ref="F11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text/>
    </comment>
    <comment ref="C1152" authorId="2" shapeId="0">
      <text>
        <r>
          <rPr>
            <sz val="11"/>
            <color theme="1"/>
            <rFont val="Calibri"/>
            <family val="2"/>
            <scheme val="minor"/>
          </rPr>
          <t>Introduzca la fecha prevista de adjudicación, en formato dd-mm-aaaa</t>
        </r>
      </text>
    </comment>
    <comment ref="F1152" authorId="2" shapeId="0">
      <text/>
    </comment>
    <comment ref="F1153" authorId="2" shapeId="0">
      <text/>
    </comment>
    <comment ref="A1155" authorId="2" shapeId="0">
      <text>
        <r>
          <rPr>
            <sz val="11"/>
            <color theme="1"/>
            <rFont val="Calibri"/>
            <family val="2"/>
            <scheme val="minor"/>
          </rPr>
          <t>Introduzca un codigo UNSPSC</t>
        </r>
      </text>
    </comment>
    <comment ref="B1155" authorId="2" shapeId="0">
      <text>
        <r>
          <rPr>
            <sz val="11"/>
            <color theme="1"/>
            <rFont val="Calibri"/>
            <family val="2"/>
            <scheme val="minor"/>
          </rPr>
          <t>Descripción calculada automáticamente a partir de código del artículo</t>
        </r>
      </text>
    </comment>
    <comment ref="C1155" authorId="2" shapeId="0">
      <text>
        <r>
          <rPr>
            <sz val="11"/>
            <color theme="1"/>
            <rFont val="Calibri"/>
            <family val="2"/>
            <scheme val="minor"/>
          </rPr>
          <t>Seleccione un valor de la lista</t>
        </r>
      </text>
    </comment>
    <comment ref="D1155" authorId="2" shapeId="0">
      <text>
        <r>
          <rPr>
            <sz val="11"/>
            <color theme="1"/>
            <rFont val="Calibri"/>
            <family val="2"/>
            <scheme val="minor"/>
          </rPr>
          <t>Introduzca un número con dos decimales como máximo. Debe ser igual o mayor a la "Cantidad Real Consumida"</t>
        </r>
      </text>
    </comment>
    <comment ref="E1155" authorId="2" shapeId="0">
      <text>
        <r>
          <rPr>
            <sz val="11"/>
            <color theme="1"/>
            <rFont val="Calibri"/>
            <family val="2"/>
            <scheme val="minor"/>
          </rPr>
          <t>Introduzca un número con dos decimales como máximo</t>
        </r>
      </text>
    </comment>
    <comment ref="F1155" authorId="2" shapeId="0">
      <text>
        <r>
          <rPr>
            <sz val="11"/>
            <color theme="1"/>
            <rFont val="Calibri"/>
            <family val="2"/>
            <scheme val="minor"/>
          </rPr>
          <t>Monto calculado automáticamente por el sistema</t>
        </r>
      </text>
    </comment>
    <comment ref="A1162" authorId="1" shapeId="0">
      <text>
        <r>
          <rPr>
            <sz val="11"/>
            <color theme="1"/>
            <rFont val="Calibri"/>
            <family val="2"/>
            <scheme val="minor"/>
          </rPr>
          <t>Introducir un texto con el nombre o referencia de la contratación</t>
        </r>
      </text>
    </comment>
    <comment ref="B1162" authorId="1" shapeId="0">
      <text>
        <r>
          <rPr>
            <sz val="11"/>
            <color theme="1"/>
            <rFont val="Calibri"/>
            <family val="2"/>
            <scheme val="minor"/>
          </rPr>
          <t>Introduzca un texto con la finalidad de la contratación</t>
        </r>
      </text>
    </comment>
    <comment ref="C1162" authorId="1" shapeId="0">
      <text>
        <r>
          <rPr>
            <sz val="11"/>
            <color theme="1"/>
            <rFont val="Calibri"/>
            <family val="2"/>
            <scheme val="minor"/>
          </rPr>
          <t>Seleccionar un valor del listado</t>
        </r>
      </text>
    </comment>
    <comment ref="D1162" authorId="1" shapeId="0">
      <text>
        <r>
          <rPr>
            <sz val="11"/>
            <color theme="1"/>
            <rFont val="Calibri"/>
            <family val="2"/>
            <scheme val="minor"/>
          </rPr>
          <t>Seleccione el tipo de procedimiento</t>
        </r>
      </text>
    </comment>
    <comment ref="E1162" authorId="1" shapeId="0">
      <text>
        <r>
          <rPr>
            <sz val="11"/>
            <color theme="1"/>
            <rFont val="Calibri"/>
            <family val="2"/>
            <scheme val="minor"/>
          </rPr>
          <t>Seleccione un valor de la lista</t>
        </r>
      </text>
    </comment>
    <comment ref="F1162" authorId="2" shapeId="0">
      <text>
        <r>
          <rPr>
            <sz val="11"/>
            <color theme="1"/>
            <rFont val="Calibri"/>
            <family val="2"/>
            <scheme val="minor"/>
          </rPr>
          <t>Introduzca el código SNIP</t>
        </r>
      </text>
    </comment>
    <comment ref="C1163" authorId="2" shapeId="0">
      <text>
        <r>
          <rPr>
            <sz val="11"/>
            <color theme="1"/>
            <rFont val="Calibri"/>
            <family val="2"/>
            <scheme val="minor"/>
          </rPr>
          <t>Introduzca la fecha de inicio del proceso, en formato dd-mm-aaaa</t>
        </r>
      </text>
    </comment>
    <comment ref="F11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2" shapeId="0">
      <text/>
    </comment>
    <comment ref="C1165" authorId="2" shapeId="0">
      <text>
        <r>
          <rPr>
            <sz val="11"/>
            <color theme="1"/>
            <rFont val="Calibri"/>
            <family val="2"/>
            <scheme val="minor"/>
          </rPr>
          <t>Introduzca la fecha prevista de adjudicación, en formato dd-mm-aaaa</t>
        </r>
      </text>
    </comment>
    <comment ref="F1165" authorId="2" shapeId="0">
      <text/>
    </comment>
    <comment ref="F1166" authorId="2" shapeId="0">
      <text/>
    </comment>
    <comment ref="A1168" authorId="2" shapeId="0">
      <text>
        <r>
          <rPr>
            <sz val="11"/>
            <color theme="1"/>
            <rFont val="Calibri"/>
            <family val="2"/>
            <scheme val="minor"/>
          </rPr>
          <t>Introduzca un codigo UNSPSC</t>
        </r>
      </text>
    </comment>
    <comment ref="B1168" authorId="2" shapeId="0">
      <text>
        <r>
          <rPr>
            <sz val="11"/>
            <color theme="1"/>
            <rFont val="Calibri"/>
            <family val="2"/>
            <scheme val="minor"/>
          </rPr>
          <t>Descripción calculada automáticamente a partir de código del artículo</t>
        </r>
      </text>
    </comment>
    <comment ref="C1168" authorId="2" shapeId="0">
      <text>
        <r>
          <rPr>
            <sz val="11"/>
            <color theme="1"/>
            <rFont val="Calibri"/>
            <family val="2"/>
            <scheme val="minor"/>
          </rPr>
          <t>Seleccione un valor de la lista</t>
        </r>
      </text>
    </comment>
    <comment ref="D1168" authorId="2" shapeId="0">
      <text>
        <r>
          <rPr>
            <sz val="11"/>
            <color theme="1"/>
            <rFont val="Calibri"/>
            <family val="2"/>
            <scheme val="minor"/>
          </rPr>
          <t>Introduzca un número con dos decimales como máximo. Debe ser igual o mayor a la "Cantidad Real Consumida"</t>
        </r>
      </text>
    </comment>
    <comment ref="E1168" authorId="2" shapeId="0">
      <text>
        <r>
          <rPr>
            <sz val="11"/>
            <color theme="1"/>
            <rFont val="Calibri"/>
            <family val="2"/>
            <scheme val="minor"/>
          </rPr>
          <t>Introduzca un número con dos decimales como máximo</t>
        </r>
      </text>
    </comment>
    <comment ref="F1168" authorId="2" shapeId="0">
      <text>
        <r>
          <rPr>
            <sz val="11"/>
            <color theme="1"/>
            <rFont val="Calibri"/>
            <family val="2"/>
            <scheme val="minor"/>
          </rPr>
          <t>Monto calculado automáticamente por el sistema</t>
        </r>
      </text>
    </comment>
    <comment ref="A1173" authorId="2" shapeId="0">
      <text>
        <r>
          <rPr>
            <sz val="11"/>
            <color theme="1"/>
            <rFont val="Calibri"/>
            <family val="2"/>
            <scheme val="minor"/>
          </rPr>
          <t>Introducir un texto con el nombre o referencia de la contratación</t>
        </r>
      </text>
    </comment>
    <comment ref="B1173" authorId="2" shapeId="0">
      <text>
        <r>
          <rPr>
            <sz val="11"/>
            <color theme="1"/>
            <rFont val="Calibri"/>
            <family val="2"/>
            <scheme val="minor"/>
          </rPr>
          <t>Introduzca un texto con la finalidad de la contratación</t>
        </r>
      </text>
    </comment>
    <comment ref="C1173" authorId="2" shapeId="0">
      <text>
        <r>
          <rPr>
            <sz val="11"/>
            <color theme="1"/>
            <rFont val="Calibri"/>
            <family val="2"/>
            <scheme val="minor"/>
          </rPr>
          <t>Seleccionar un valor del listado</t>
        </r>
      </text>
    </comment>
    <comment ref="D1173" authorId="2" shapeId="0">
      <text>
        <r>
          <rPr>
            <sz val="11"/>
            <color theme="1"/>
            <rFont val="Calibri"/>
            <family val="2"/>
            <scheme val="minor"/>
          </rPr>
          <t>Seleccione el tipo de procedimiento</t>
        </r>
      </text>
    </comment>
    <comment ref="E1173" authorId="2" shapeId="0">
      <text>
        <r>
          <rPr>
            <sz val="11"/>
            <color theme="1"/>
            <rFont val="Calibri"/>
            <family val="2"/>
            <scheme val="minor"/>
          </rPr>
          <t>Seleccione un valor de la lista</t>
        </r>
      </text>
    </comment>
    <comment ref="F1173" authorId="2" shapeId="0">
      <text>
        <r>
          <rPr>
            <sz val="11"/>
            <color theme="1"/>
            <rFont val="Calibri"/>
            <family val="2"/>
            <scheme val="minor"/>
          </rPr>
          <t>Introduzca el código SNIP</t>
        </r>
      </text>
    </comment>
    <comment ref="C1174" authorId="2" shapeId="0">
      <text>
        <r>
          <rPr>
            <sz val="11"/>
            <color theme="1"/>
            <rFont val="Calibri"/>
            <family val="2"/>
            <scheme val="minor"/>
          </rPr>
          <t>Introduzca la fecha de inicio del proceso, en formato dd-mm-aaaa</t>
        </r>
      </text>
    </comment>
    <comment ref="F11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2" shapeId="0">
      <text/>
    </comment>
    <comment ref="C1176" authorId="2" shapeId="0">
      <text>
        <r>
          <rPr>
            <sz val="11"/>
            <color theme="1"/>
            <rFont val="Calibri"/>
            <family val="2"/>
            <scheme val="minor"/>
          </rPr>
          <t>Introduzca la fecha prevista de adjudicación, en formato dd-mm-aaaa</t>
        </r>
      </text>
    </comment>
    <comment ref="F1176" authorId="2" shapeId="0">
      <text/>
    </comment>
    <comment ref="F1177" authorId="2" shapeId="0">
      <text/>
    </comment>
    <comment ref="A1179" authorId="2" shapeId="0">
      <text>
        <r>
          <rPr>
            <sz val="11"/>
            <color theme="1"/>
            <rFont val="Calibri"/>
            <family val="2"/>
            <scheme val="minor"/>
          </rPr>
          <t>Introduzca un codigo UNSPSC</t>
        </r>
      </text>
    </comment>
    <comment ref="B1179" authorId="2" shapeId="0">
      <text>
        <r>
          <rPr>
            <sz val="11"/>
            <color theme="1"/>
            <rFont val="Calibri"/>
            <family val="2"/>
            <scheme val="minor"/>
          </rPr>
          <t>Descripción calculada automáticamente a partir de código del artículo</t>
        </r>
      </text>
    </comment>
    <comment ref="C1179" authorId="2" shapeId="0">
      <text>
        <r>
          <rPr>
            <sz val="11"/>
            <color theme="1"/>
            <rFont val="Calibri"/>
            <family val="2"/>
            <scheme val="minor"/>
          </rPr>
          <t>Seleccione un valor de la lista</t>
        </r>
      </text>
    </comment>
    <comment ref="D1179" authorId="2" shapeId="0">
      <text>
        <r>
          <rPr>
            <sz val="11"/>
            <color theme="1"/>
            <rFont val="Calibri"/>
            <family val="2"/>
            <scheme val="minor"/>
          </rPr>
          <t>Introduzca un número con dos decimales como máximo. Debe ser igual o mayor a la "Cantidad Real Consumida"</t>
        </r>
      </text>
    </comment>
    <comment ref="E1179" authorId="2" shapeId="0">
      <text>
        <r>
          <rPr>
            <sz val="11"/>
            <color theme="1"/>
            <rFont val="Calibri"/>
            <family val="2"/>
            <scheme val="minor"/>
          </rPr>
          <t>Introduzca un número con dos decimales como máximo</t>
        </r>
      </text>
    </comment>
    <comment ref="F1179" authorId="2" shapeId="0">
      <text>
        <r>
          <rPr>
            <sz val="11"/>
            <color theme="1"/>
            <rFont val="Calibri"/>
            <family val="2"/>
            <scheme val="minor"/>
          </rPr>
          <t>Monto calculado automáticamente por el sistema</t>
        </r>
      </text>
    </comment>
    <comment ref="A1185" authorId="1" shapeId="0">
      <text>
        <r>
          <rPr>
            <sz val="11"/>
            <color theme="1"/>
            <rFont val="Calibri"/>
            <family val="2"/>
            <scheme val="minor"/>
          </rPr>
          <t>Introducir un texto con el nombre o referencia de la contratación</t>
        </r>
      </text>
    </comment>
    <comment ref="B1185" authorId="1" shapeId="0">
      <text>
        <r>
          <rPr>
            <sz val="11"/>
            <color theme="1"/>
            <rFont val="Calibri"/>
            <family val="2"/>
            <scheme val="minor"/>
          </rPr>
          <t>Introduzca un texto con la finalidad de la contratación</t>
        </r>
      </text>
    </comment>
    <comment ref="C1185" authorId="1" shapeId="0">
      <text>
        <r>
          <rPr>
            <sz val="11"/>
            <color theme="1"/>
            <rFont val="Calibri"/>
            <family val="2"/>
            <scheme val="minor"/>
          </rPr>
          <t>Seleccionar un valor del listado</t>
        </r>
      </text>
    </comment>
    <comment ref="D1185" authorId="1" shapeId="0">
      <text>
        <r>
          <rPr>
            <sz val="11"/>
            <color theme="1"/>
            <rFont val="Calibri"/>
            <family val="2"/>
            <scheme val="minor"/>
          </rPr>
          <t>Seleccione el tipo de procedimiento</t>
        </r>
      </text>
    </comment>
    <comment ref="E1185" authorId="1" shapeId="0">
      <text>
        <r>
          <rPr>
            <sz val="11"/>
            <color theme="1"/>
            <rFont val="Calibri"/>
            <family val="2"/>
            <scheme val="minor"/>
          </rPr>
          <t>Seleccione un valor de la lista</t>
        </r>
      </text>
    </comment>
    <comment ref="F1185" authorId="2" shapeId="0">
      <text>
        <r>
          <rPr>
            <sz val="11"/>
            <color theme="1"/>
            <rFont val="Calibri"/>
            <family val="2"/>
            <scheme val="minor"/>
          </rPr>
          <t>Introduzca el código SNIP</t>
        </r>
      </text>
    </comment>
    <comment ref="C1186" authorId="2" shapeId="0">
      <text>
        <r>
          <rPr>
            <sz val="11"/>
            <color theme="1"/>
            <rFont val="Calibri"/>
            <family val="2"/>
            <scheme val="minor"/>
          </rPr>
          <t>Introduzca la fecha de inicio del proceso, en formato dd-mm-aaaa</t>
        </r>
      </text>
    </comment>
    <comment ref="F11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2" shapeId="0">
      <text/>
    </comment>
    <comment ref="C1188" authorId="2" shapeId="0">
      <text>
        <r>
          <rPr>
            <sz val="11"/>
            <color theme="1"/>
            <rFont val="Calibri"/>
            <family val="2"/>
            <scheme val="minor"/>
          </rPr>
          <t>Introduzca la fecha prevista de adjudicación, en formato dd-mm-aaaa</t>
        </r>
      </text>
    </comment>
    <comment ref="F1188" authorId="2" shapeId="0">
      <text/>
    </comment>
    <comment ref="F1189" authorId="2" shapeId="0">
      <text/>
    </comment>
    <comment ref="A1191" authorId="2" shapeId="0">
      <text>
        <r>
          <rPr>
            <sz val="11"/>
            <color theme="1"/>
            <rFont val="Calibri"/>
            <family val="2"/>
            <scheme val="minor"/>
          </rPr>
          <t>Introduzca un codigo UNSPSC</t>
        </r>
      </text>
    </comment>
    <comment ref="B1191" authorId="2" shapeId="0">
      <text>
        <r>
          <rPr>
            <sz val="11"/>
            <color theme="1"/>
            <rFont val="Calibri"/>
            <family val="2"/>
            <scheme val="minor"/>
          </rPr>
          <t>Descripción calculada automáticamente a partir de código del artículo</t>
        </r>
      </text>
    </comment>
    <comment ref="C1191" authorId="2" shapeId="0">
      <text>
        <r>
          <rPr>
            <sz val="11"/>
            <color theme="1"/>
            <rFont val="Calibri"/>
            <family val="2"/>
            <scheme val="minor"/>
          </rPr>
          <t>Seleccione un valor de la lista</t>
        </r>
      </text>
    </comment>
    <comment ref="D1191" authorId="2" shapeId="0">
      <text>
        <r>
          <rPr>
            <sz val="11"/>
            <color theme="1"/>
            <rFont val="Calibri"/>
            <family val="2"/>
            <scheme val="minor"/>
          </rPr>
          <t>Introduzca un número con dos decimales como máximo. Debe ser igual o mayor a la "Cantidad Real Consumida"</t>
        </r>
      </text>
    </comment>
    <comment ref="E1191" authorId="2" shapeId="0">
      <text>
        <r>
          <rPr>
            <sz val="11"/>
            <color theme="1"/>
            <rFont val="Calibri"/>
            <family val="2"/>
            <scheme val="minor"/>
          </rPr>
          <t>Introduzca un número con dos decimales como máximo</t>
        </r>
      </text>
    </comment>
    <comment ref="F1191" authorId="2" shapeId="0">
      <text>
        <r>
          <rPr>
            <sz val="11"/>
            <color theme="1"/>
            <rFont val="Calibri"/>
            <family val="2"/>
            <scheme val="minor"/>
          </rPr>
          <t>Monto calculado automáticamente por el sistema</t>
        </r>
      </text>
    </comment>
    <comment ref="A1197" authorId="1" shapeId="0">
      <text>
        <r>
          <rPr>
            <sz val="11"/>
            <color theme="1"/>
            <rFont val="Calibri"/>
            <family val="2"/>
            <scheme val="minor"/>
          </rPr>
          <t>Introducir un texto con el nombre o referencia de la contratación</t>
        </r>
      </text>
    </comment>
    <comment ref="B1197" authorId="1" shapeId="0">
      <text>
        <r>
          <rPr>
            <sz val="11"/>
            <color theme="1"/>
            <rFont val="Calibri"/>
            <family val="2"/>
            <scheme val="minor"/>
          </rPr>
          <t>Introduzca un texto con la finalidad de la contratación</t>
        </r>
      </text>
    </comment>
    <comment ref="C1197" authorId="1" shapeId="0">
      <text>
        <r>
          <rPr>
            <sz val="11"/>
            <color theme="1"/>
            <rFont val="Calibri"/>
            <family val="2"/>
            <scheme val="minor"/>
          </rPr>
          <t>Seleccionar un valor del listado</t>
        </r>
      </text>
    </comment>
    <comment ref="D1197" authorId="1" shapeId="0">
      <text>
        <r>
          <rPr>
            <sz val="11"/>
            <color theme="1"/>
            <rFont val="Calibri"/>
            <family val="2"/>
            <scheme val="minor"/>
          </rPr>
          <t>Seleccione el tipo de procedimiento</t>
        </r>
      </text>
    </comment>
    <comment ref="E1197" authorId="1" shapeId="0">
      <text>
        <r>
          <rPr>
            <sz val="11"/>
            <color theme="1"/>
            <rFont val="Calibri"/>
            <family val="2"/>
            <scheme val="minor"/>
          </rPr>
          <t>Seleccione un valor de la lista</t>
        </r>
      </text>
    </comment>
    <comment ref="F1197" authorId="2" shapeId="0">
      <text>
        <r>
          <rPr>
            <sz val="11"/>
            <color theme="1"/>
            <rFont val="Calibri"/>
            <family val="2"/>
            <scheme val="minor"/>
          </rPr>
          <t>Introduzca el código SNIP</t>
        </r>
      </text>
    </comment>
    <comment ref="C1198" authorId="2" shapeId="0">
      <text>
        <r>
          <rPr>
            <sz val="11"/>
            <color theme="1"/>
            <rFont val="Calibri"/>
            <family val="2"/>
            <scheme val="minor"/>
          </rPr>
          <t>Introduzca la fecha de inicio del proceso, en formato dd-mm-aaaa</t>
        </r>
      </text>
    </comment>
    <comment ref="F11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2" shapeId="0">
      <text/>
    </comment>
    <comment ref="C1200" authorId="2" shapeId="0">
      <text>
        <r>
          <rPr>
            <sz val="11"/>
            <color theme="1"/>
            <rFont val="Calibri"/>
            <family val="2"/>
            <scheme val="minor"/>
          </rPr>
          <t>Introduzca la fecha prevista de adjudicación, en formato dd-mm-aaaa</t>
        </r>
      </text>
    </comment>
    <comment ref="F1200" authorId="2" shapeId="0">
      <text/>
    </comment>
    <comment ref="F1201" authorId="2" shapeId="0">
      <text/>
    </comment>
    <comment ref="A1203" authorId="2" shapeId="0">
      <text>
        <r>
          <rPr>
            <sz val="11"/>
            <color theme="1"/>
            <rFont val="Calibri"/>
            <family val="2"/>
            <scheme val="minor"/>
          </rPr>
          <t>Introduzca un codigo UNSPSC</t>
        </r>
      </text>
    </comment>
    <comment ref="B1203" authorId="2" shapeId="0">
      <text>
        <r>
          <rPr>
            <sz val="11"/>
            <color theme="1"/>
            <rFont val="Calibri"/>
            <family val="2"/>
            <scheme val="minor"/>
          </rPr>
          <t>Descripción calculada automáticamente a partir de código del artículo</t>
        </r>
      </text>
    </comment>
    <comment ref="C1203" authorId="2" shapeId="0">
      <text>
        <r>
          <rPr>
            <sz val="11"/>
            <color theme="1"/>
            <rFont val="Calibri"/>
            <family val="2"/>
            <scheme val="minor"/>
          </rPr>
          <t>Seleccione un valor de la lista</t>
        </r>
      </text>
    </comment>
    <comment ref="D1203" authorId="2" shapeId="0">
      <text>
        <r>
          <rPr>
            <sz val="11"/>
            <color theme="1"/>
            <rFont val="Calibri"/>
            <family val="2"/>
            <scheme val="minor"/>
          </rPr>
          <t>Introduzca un número con dos decimales como máximo. Debe ser igual o mayor a la "Cantidad Real Consumida"</t>
        </r>
      </text>
    </comment>
    <comment ref="E1203" authorId="2" shapeId="0">
      <text>
        <r>
          <rPr>
            <sz val="11"/>
            <color theme="1"/>
            <rFont val="Calibri"/>
            <family val="2"/>
            <scheme val="minor"/>
          </rPr>
          <t>Introduzca un número con dos decimales como máximo</t>
        </r>
      </text>
    </comment>
    <comment ref="F1203" authorId="2" shapeId="0">
      <text>
        <r>
          <rPr>
            <sz val="11"/>
            <color theme="1"/>
            <rFont val="Calibri"/>
            <family val="2"/>
            <scheme val="minor"/>
          </rPr>
          <t>Monto calculado automáticamente por el sistema</t>
        </r>
      </text>
    </comment>
    <comment ref="A1208" authorId="2" shapeId="0">
      <text>
        <r>
          <rPr>
            <sz val="11"/>
            <color theme="1"/>
            <rFont val="Calibri"/>
            <family val="2"/>
            <scheme val="minor"/>
          </rPr>
          <t>Introducir un texto con el nombre o referencia de la contratación</t>
        </r>
      </text>
    </comment>
    <comment ref="B1208" authorId="2" shapeId="0">
      <text>
        <r>
          <rPr>
            <sz val="11"/>
            <color theme="1"/>
            <rFont val="Calibri"/>
            <family val="2"/>
            <scheme val="minor"/>
          </rPr>
          <t>Introduzca un texto con la finalidad de la contratación</t>
        </r>
      </text>
    </comment>
    <comment ref="C1208" authorId="2" shapeId="0">
      <text>
        <r>
          <rPr>
            <sz val="11"/>
            <color theme="1"/>
            <rFont val="Calibri"/>
            <family val="2"/>
            <scheme val="minor"/>
          </rPr>
          <t>Seleccionar un valor del listado</t>
        </r>
      </text>
    </comment>
    <comment ref="D1208" authorId="2" shapeId="0">
      <text>
        <r>
          <rPr>
            <sz val="11"/>
            <color theme="1"/>
            <rFont val="Calibri"/>
            <family val="2"/>
            <scheme val="minor"/>
          </rPr>
          <t>Seleccione el tipo de procedimiento</t>
        </r>
      </text>
    </comment>
    <comment ref="E1208" authorId="2" shapeId="0">
      <text>
        <r>
          <rPr>
            <sz val="11"/>
            <color theme="1"/>
            <rFont val="Calibri"/>
            <family val="2"/>
            <scheme val="minor"/>
          </rPr>
          <t>Seleccione un valor de la lista</t>
        </r>
      </text>
    </comment>
    <comment ref="F1208" authorId="2" shapeId="0">
      <text>
        <r>
          <rPr>
            <sz val="11"/>
            <color theme="1"/>
            <rFont val="Calibri"/>
            <family val="2"/>
            <scheme val="minor"/>
          </rPr>
          <t>Introduzca el código SNIP</t>
        </r>
      </text>
    </comment>
    <comment ref="C1209" authorId="2" shapeId="0">
      <text>
        <r>
          <rPr>
            <sz val="11"/>
            <color theme="1"/>
            <rFont val="Calibri"/>
            <family val="2"/>
            <scheme val="minor"/>
          </rPr>
          <t>Introduzca la fecha de inicio del proceso, en formato dd-mm-aaaa</t>
        </r>
      </text>
    </comment>
    <comment ref="F1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2" shapeId="0">
      <text/>
    </comment>
    <comment ref="C1211" authorId="2" shapeId="0">
      <text>
        <r>
          <rPr>
            <sz val="11"/>
            <color theme="1"/>
            <rFont val="Calibri"/>
            <family val="2"/>
            <scheme val="minor"/>
          </rPr>
          <t>Introduzca la fecha prevista de adjudicación, en formato dd-mm-aaaa</t>
        </r>
      </text>
    </comment>
    <comment ref="F1211" authorId="2" shapeId="0">
      <text/>
    </comment>
    <comment ref="F1212" authorId="2" shapeId="0">
      <text/>
    </comment>
    <comment ref="A1214" authorId="2" shapeId="0">
      <text>
        <r>
          <rPr>
            <sz val="11"/>
            <color theme="1"/>
            <rFont val="Calibri"/>
            <family val="2"/>
            <scheme val="minor"/>
          </rPr>
          <t>Introduzca un codigo UNSPSC</t>
        </r>
      </text>
    </comment>
    <comment ref="B1214" authorId="2" shapeId="0">
      <text>
        <r>
          <rPr>
            <sz val="11"/>
            <color theme="1"/>
            <rFont val="Calibri"/>
            <family val="2"/>
            <scheme val="minor"/>
          </rPr>
          <t>Descripción calculada automáticamente a partir de código del artículo</t>
        </r>
      </text>
    </comment>
    <comment ref="C1214" authorId="2" shapeId="0">
      <text>
        <r>
          <rPr>
            <sz val="11"/>
            <color theme="1"/>
            <rFont val="Calibri"/>
            <family val="2"/>
            <scheme val="minor"/>
          </rPr>
          <t>Seleccione un valor de la lista</t>
        </r>
      </text>
    </comment>
    <comment ref="D1214" authorId="2" shapeId="0">
      <text>
        <r>
          <rPr>
            <sz val="11"/>
            <color theme="1"/>
            <rFont val="Calibri"/>
            <family val="2"/>
            <scheme val="minor"/>
          </rPr>
          <t>Introduzca un número con dos decimales como máximo. Debe ser igual o mayor a la "Cantidad Real Consumida"</t>
        </r>
      </text>
    </comment>
    <comment ref="E1214" authorId="2" shapeId="0">
      <text>
        <r>
          <rPr>
            <sz val="11"/>
            <color theme="1"/>
            <rFont val="Calibri"/>
            <family val="2"/>
            <scheme val="minor"/>
          </rPr>
          <t>Introduzca un número con dos decimales como máximo</t>
        </r>
      </text>
    </comment>
    <comment ref="F1214" authorId="2" shapeId="0">
      <text>
        <r>
          <rPr>
            <sz val="11"/>
            <color theme="1"/>
            <rFont val="Calibri"/>
            <family val="2"/>
            <scheme val="minor"/>
          </rPr>
          <t>Monto calculado automáticamente por el sistema</t>
        </r>
      </text>
    </comment>
    <comment ref="A1219" authorId="1" shapeId="0">
      <text>
        <r>
          <rPr>
            <sz val="11"/>
            <color theme="1"/>
            <rFont val="Calibri"/>
            <family val="2"/>
            <scheme val="minor"/>
          </rPr>
          <t>Introducir un texto con el nombre o referencia de la contratación</t>
        </r>
      </text>
    </comment>
    <comment ref="B1219" authorId="1" shapeId="0">
      <text>
        <r>
          <rPr>
            <sz val="11"/>
            <color theme="1"/>
            <rFont val="Calibri"/>
            <family val="2"/>
            <scheme val="minor"/>
          </rPr>
          <t>Introduzca un texto con la finalidad de la contratación</t>
        </r>
      </text>
    </comment>
    <comment ref="C1219" authorId="1" shapeId="0">
      <text>
        <r>
          <rPr>
            <sz val="11"/>
            <color theme="1"/>
            <rFont val="Calibri"/>
            <family val="2"/>
            <scheme val="minor"/>
          </rPr>
          <t>Seleccionar un valor del listado</t>
        </r>
      </text>
    </comment>
    <comment ref="D1219" authorId="1" shapeId="0">
      <text>
        <r>
          <rPr>
            <sz val="11"/>
            <color theme="1"/>
            <rFont val="Calibri"/>
            <family val="2"/>
            <scheme val="minor"/>
          </rPr>
          <t>Seleccione el tipo de procedimiento</t>
        </r>
      </text>
    </comment>
    <comment ref="E1219" authorId="1" shapeId="0">
      <text>
        <r>
          <rPr>
            <sz val="11"/>
            <color theme="1"/>
            <rFont val="Calibri"/>
            <family val="2"/>
            <scheme val="minor"/>
          </rPr>
          <t>Seleccione un valor de la lista</t>
        </r>
      </text>
    </comment>
    <comment ref="F1219" authorId="2" shapeId="0">
      <text>
        <r>
          <rPr>
            <sz val="11"/>
            <color theme="1"/>
            <rFont val="Calibri"/>
            <family val="2"/>
            <scheme val="minor"/>
          </rPr>
          <t>Introduzca el código SNIP</t>
        </r>
      </text>
    </comment>
    <comment ref="C1220" authorId="2" shapeId="0">
      <text>
        <r>
          <rPr>
            <sz val="11"/>
            <color theme="1"/>
            <rFont val="Calibri"/>
            <family val="2"/>
            <scheme val="minor"/>
          </rPr>
          <t>Introduzca la fecha de inicio del proceso, en formato dd-mm-aaaa</t>
        </r>
      </text>
    </comment>
    <comment ref="F12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2" shapeId="0">
      <text/>
    </comment>
    <comment ref="C1222" authorId="2" shapeId="0">
      <text>
        <r>
          <rPr>
            <sz val="11"/>
            <color theme="1"/>
            <rFont val="Calibri"/>
            <family val="2"/>
            <scheme val="minor"/>
          </rPr>
          <t>Introduzca la fecha prevista de adjudicación, en formato dd-mm-aaaa</t>
        </r>
      </text>
    </comment>
    <comment ref="F1222" authorId="2" shapeId="0">
      <text/>
    </comment>
    <comment ref="F1223" authorId="2" shapeId="0">
      <text/>
    </comment>
    <comment ref="A1225" authorId="2" shapeId="0">
      <text>
        <r>
          <rPr>
            <sz val="11"/>
            <color theme="1"/>
            <rFont val="Calibri"/>
            <family val="2"/>
            <scheme val="minor"/>
          </rPr>
          <t>Introduzca un codigo UNSPSC</t>
        </r>
      </text>
    </comment>
    <comment ref="B1225" authorId="2" shapeId="0">
      <text>
        <r>
          <rPr>
            <sz val="11"/>
            <color theme="1"/>
            <rFont val="Calibri"/>
            <family val="2"/>
            <scheme val="minor"/>
          </rPr>
          <t>Descripción calculada automáticamente a partir de código del artículo</t>
        </r>
      </text>
    </comment>
    <comment ref="C1225" authorId="2" shapeId="0">
      <text>
        <r>
          <rPr>
            <sz val="11"/>
            <color theme="1"/>
            <rFont val="Calibri"/>
            <family val="2"/>
            <scheme val="minor"/>
          </rPr>
          <t>Seleccione un valor de la lista</t>
        </r>
      </text>
    </comment>
    <comment ref="D1225" authorId="2" shapeId="0">
      <text>
        <r>
          <rPr>
            <sz val="11"/>
            <color theme="1"/>
            <rFont val="Calibri"/>
            <family val="2"/>
            <scheme val="minor"/>
          </rPr>
          <t>Introduzca un número con dos decimales como máximo. Debe ser igual o mayor a la "Cantidad Real Consumida"</t>
        </r>
      </text>
    </comment>
    <comment ref="E1225" authorId="2" shapeId="0">
      <text>
        <r>
          <rPr>
            <sz val="11"/>
            <color theme="1"/>
            <rFont val="Calibri"/>
            <family val="2"/>
            <scheme val="minor"/>
          </rPr>
          <t>Introduzca un número con dos decimales como máximo</t>
        </r>
      </text>
    </comment>
    <comment ref="F1225" authorId="2" shapeId="0">
      <text>
        <r>
          <rPr>
            <sz val="11"/>
            <color theme="1"/>
            <rFont val="Calibri"/>
            <family val="2"/>
            <scheme val="minor"/>
          </rPr>
          <t>Monto calculado automáticamente por el sistema</t>
        </r>
      </text>
    </comment>
    <comment ref="A1230" authorId="2" shapeId="0">
      <text>
        <r>
          <rPr>
            <sz val="11"/>
            <color theme="1"/>
            <rFont val="Calibri"/>
            <family val="2"/>
            <scheme val="minor"/>
          </rPr>
          <t>Introducir un texto con el nombre o referencia de la contratación</t>
        </r>
      </text>
    </comment>
    <comment ref="B1230" authorId="2" shapeId="0">
      <text>
        <r>
          <rPr>
            <sz val="11"/>
            <color theme="1"/>
            <rFont val="Calibri"/>
            <family val="2"/>
            <scheme val="minor"/>
          </rPr>
          <t>Introduzca un texto con la finalidad de la contratación</t>
        </r>
      </text>
    </comment>
    <comment ref="C1230" authorId="2" shapeId="0">
      <text>
        <r>
          <rPr>
            <sz val="11"/>
            <color theme="1"/>
            <rFont val="Calibri"/>
            <family val="2"/>
            <scheme val="minor"/>
          </rPr>
          <t>Seleccionar un valor del listado</t>
        </r>
      </text>
    </comment>
    <comment ref="D1230" authorId="2" shapeId="0">
      <text>
        <r>
          <rPr>
            <sz val="11"/>
            <color theme="1"/>
            <rFont val="Calibri"/>
            <family val="2"/>
            <scheme val="minor"/>
          </rPr>
          <t>Seleccione el tipo de procedimiento</t>
        </r>
      </text>
    </comment>
    <comment ref="E1230" authorId="2" shapeId="0">
      <text>
        <r>
          <rPr>
            <sz val="11"/>
            <color theme="1"/>
            <rFont val="Calibri"/>
            <family val="2"/>
            <scheme val="minor"/>
          </rPr>
          <t>Seleccione un valor de la lista</t>
        </r>
      </text>
    </comment>
    <comment ref="F1230" authorId="2" shapeId="0">
      <text>
        <r>
          <rPr>
            <sz val="11"/>
            <color theme="1"/>
            <rFont val="Calibri"/>
            <family val="2"/>
            <scheme val="minor"/>
          </rPr>
          <t>Introduzca el código SNIP</t>
        </r>
      </text>
    </comment>
    <comment ref="C1231" authorId="2" shapeId="0">
      <text>
        <r>
          <rPr>
            <sz val="11"/>
            <color theme="1"/>
            <rFont val="Calibri"/>
            <family val="2"/>
            <scheme val="minor"/>
          </rPr>
          <t>Introduzca la fecha de inicio del proceso, en formato dd-mm-aaaa</t>
        </r>
      </text>
    </comment>
    <comment ref="F12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2" shapeId="0">
      <text/>
    </comment>
    <comment ref="C1233" authorId="2" shapeId="0">
      <text>
        <r>
          <rPr>
            <sz val="11"/>
            <color theme="1"/>
            <rFont val="Calibri"/>
            <family val="2"/>
            <scheme val="minor"/>
          </rPr>
          <t>Introduzca la fecha prevista de adjudicación, en formato dd-mm-aaaa</t>
        </r>
      </text>
    </comment>
    <comment ref="F1233" authorId="2" shapeId="0">
      <text/>
    </comment>
    <comment ref="F1234" authorId="2" shapeId="0">
      <text/>
    </comment>
    <comment ref="A1236" authorId="2" shapeId="0">
      <text>
        <r>
          <rPr>
            <sz val="11"/>
            <color theme="1"/>
            <rFont val="Calibri"/>
            <family val="2"/>
            <scheme val="minor"/>
          </rPr>
          <t>Introduzca un codigo UNSPSC</t>
        </r>
      </text>
    </comment>
    <comment ref="B1236" authorId="2" shapeId="0">
      <text>
        <r>
          <rPr>
            <sz val="11"/>
            <color theme="1"/>
            <rFont val="Calibri"/>
            <family val="2"/>
            <scheme val="minor"/>
          </rPr>
          <t>Descripción calculada automáticamente a partir de código del artículo</t>
        </r>
      </text>
    </comment>
    <comment ref="C1236" authorId="2" shapeId="0">
      <text>
        <r>
          <rPr>
            <sz val="11"/>
            <color theme="1"/>
            <rFont val="Calibri"/>
            <family val="2"/>
            <scheme val="minor"/>
          </rPr>
          <t>Seleccione un valor de la lista</t>
        </r>
      </text>
    </comment>
    <comment ref="D1236" authorId="2" shapeId="0">
      <text>
        <r>
          <rPr>
            <sz val="11"/>
            <color theme="1"/>
            <rFont val="Calibri"/>
            <family val="2"/>
            <scheme val="minor"/>
          </rPr>
          <t>Introduzca un número con dos decimales como máximo. Debe ser igual o mayor a la "Cantidad Real Consumida"</t>
        </r>
      </text>
    </comment>
    <comment ref="E1236" authorId="2" shapeId="0">
      <text>
        <r>
          <rPr>
            <sz val="11"/>
            <color theme="1"/>
            <rFont val="Calibri"/>
            <family val="2"/>
            <scheme val="minor"/>
          </rPr>
          <t>Introduzca un número con dos decimales como máximo</t>
        </r>
      </text>
    </comment>
    <comment ref="F1236" authorId="2" shapeId="0">
      <text>
        <r>
          <rPr>
            <sz val="11"/>
            <color theme="1"/>
            <rFont val="Calibri"/>
            <family val="2"/>
            <scheme val="minor"/>
          </rPr>
          <t>Monto calculado automáticamente por el sistema</t>
        </r>
      </text>
    </comment>
    <comment ref="A1241" authorId="1" shapeId="0">
      <text>
        <r>
          <rPr>
            <sz val="11"/>
            <color theme="1"/>
            <rFont val="Calibri"/>
            <family val="2"/>
            <scheme val="minor"/>
          </rPr>
          <t>Introducir un texto con el nombre o referencia de la contratación</t>
        </r>
      </text>
    </comment>
    <comment ref="B1241" authorId="1" shapeId="0">
      <text>
        <r>
          <rPr>
            <sz val="11"/>
            <color theme="1"/>
            <rFont val="Calibri"/>
            <family val="2"/>
            <scheme val="minor"/>
          </rPr>
          <t>Introduzca un texto con la finalidad de la contratación</t>
        </r>
      </text>
    </comment>
    <comment ref="C1241" authorId="1" shapeId="0">
      <text>
        <r>
          <rPr>
            <sz val="11"/>
            <color theme="1"/>
            <rFont val="Calibri"/>
            <family val="2"/>
            <scheme val="minor"/>
          </rPr>
          <t>Seleccionar un valor del listado</t>
        </r>
      </text>
    </comment>
    <comment ref="D1241" authorId="1" shapeId="0">
      <text>
        <r>
          <rPr>
            <sz val="11"/>
            <color theme="1"/>
            <rFont val="Calibri"/>
            <family val="2"/>
            <scheme val="minor"/>
          </rPr>
          <t>Seleccione el tipo de procedimiento</t>
        </r>
      </text>
    </comment>
    <comment ref="E1241" authorId="1" shapeId="0">
      <text>
        <r>
          <rPr>
            <sz val="11"/>
            <color theme="1"/>
            <rFont val="Calibri"/>
            <family val="2"/>
            <scheme val="minor"/>
          </rPr>
          <t>Seleccione un valor de la lista</t>
        </r>
      </text>
    </comment>
    <comment ref="F1241" authorId="2" shapeId="0">
      <text>
        <r>
          <rPr>
            <sz val="11"/>
            <color theme="1"/>
            <rFont val="Calibri"/>
            <family val="2"/>
            <scheme val="minor"/>
          </rPr>
          <t>Introduzca el código SNIP</t>
        </r>
      </text>
    </comment>
    <comment ref="C1242" authorId="2" shapeId="0">
      <text>
        <r>
          <rPr>
            <sz val="11"/>
            <color theme="1"/>
            <rFont val="Calibri"/>
            <family val="2"/>
            <scheme val="minor"/>
          </rPr>
          <t>Introduzca la fecha de inicio del proceso, en formato dd-mm-aaaa</t>
        </r>
      </text>
    </comment>
    <comment ref="F1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2" shapeId="0">
      <text/>
    </comment>
    <comment ref="C1244" authorId="2" shapeId="0">
      <text>
        <r>
          <rPr>
            <sz val="11"/>
            <color theme="1"/>
            <rFont val="Calibri"/>
            <family val="2"/>
            <scheme val="minor"/>
          </rPr>
          <t>Introduzca la fecha prevista de adjudicación, en formato dd-mm-aaaa</t>
        </r>
      </text>
    </comment>
    <comment ref="F1244" authorId="2" shapeId="0">
      <text/>
    </comment>
    <comment ref="F1245" authorId="2" shapeId="0">
      <text/>
    </comment>
    <comment ref="A1247" authorId="2" shapeId="0">
      <text>
        <r>
          <rPr>
            <sz val="11"/>
            <color theme="1"/>
            <rFont val="Calibri"/>
            <family val="2"/>
            <scheme val="minor"/>
          </rPr>
          <t>Introduzca un codigo UNSPSC</t>
        </r>
      </text>
    </comment>
    <comment ref="B1247" authorId="2" shapeId="0">
      <text>
        <r>
          <rPr>
            <sz val="11"/>
            <color theme="1"/>
            <rFont val="Calibri"/>
            <family val="2"/>
            <scheme val="minor"/>
          </rPr>
          <t>Descripción calculada automáticamente a partir de código del artículo</t>
        </r>
      </text>
    </comment>
    <comment ref="C1247" authorId="2" shapeId="0">
      <text>
        <r>
          <rPr>
            <sz val="11"/>
            <color theme="1"/>
            <rFont val="Calibri"/>
            <family val="2"/>
            <scheme val="minor"/>
          </rPr>
          <t>Seleccione un valor de la lista</t>
        </r>
      </text>
    </comment>
    <comment ref="D1247" authorId="2" shapeId="0">
      <text>
        <r>
          <rPr>
            <sz val="11"/>
            <color theme="1"/>
            <rFont val="Calibri"/>
            <family val="2"/>
            <scheme val="minor"/>
          </rPr>
          <t>Introduzca un número con dos decimales como máximo. Debe ser igual o mayor a la "Cantidad Real Consumida"</t>
        </r>
      </text>
    </comment>
    <comment ref="E1247" authorId="2" shapeId="0">
      <text>
        <r>
          <rPr>
            <sz val="11"/>
            <color theme="1"/>
            <rFont val="Calibri"/>
            <family val="2"/>
            <scheme val="minor"/>
          </rPr>
          <t>Introduzca un número con dos decimales como máximo</t>
        </r>
      </text>
    </comment>
    <comment ref="F1247" authorId="2" shapeId="0">
      <text>
        <r>
          <rPr>
            <sz val="11"/>
            <color theme="1"/>
            <rFont val="Calibri"/>
            <family val="2"/>
            <scheme val="minor"/>
          </rPr>
          <t>Monto calculado automáticamente por el sistema</t>
        </r>
      </text>
    </comment>
    <comment ref="A1253" authorId="1" shapeId="0">
      <text>
        <r>
          <rPr>
            <sz val="11"/>
            <color theme="1"/>
            <rFont val="Calibri"/>
            <family val="2"/>
            <scheme val="minor"/>
          </rPr>
          <t>Introducir un texto con el nombre o referencia de la contratación</t>
        </r>
      </text>
    </comment>
    <comment ref="B1253" authorId="1" shapeId="0">
      <text>
        <r>
          <rPr>
            <sz val="11"/>
            <color theme="1"/>
            <rFont val="Calibri"/>
            <family val="2"/>
            <scheme val="minor"/>
          </rPr>
          <t>Introduzca un texto con la finalidad de la contratación</t>
        </r>
      </text>
    </comment>
    <comment ref="C1253" authorId="1" shapeId="0">
      <text>
        <r>
          <rPr>
            <sz val="11"/>
            <color theme="1"/>
            <rFont val="Calibri"/>
            <family val="2"/>
            <scheme val="minor"/>
          </rPr>
          <t>Seleccionar un valor del listado</t>
        </r>
      </text>
    </comment>
    <comment ref="D1253" authorId="1" shapeId="0">
      <text>
        <r>
          <rPr>
            <sz val="11"/>
            <color theme="1"/>
            <rFont val="Calibri"/>
            <family val="2"/>
            <scheme val="minor"/>
          </rPr>
          <t>Seleccione el tipo de procedimiento</t>
        </r>
      </text>
    </comment>
    <comment ref="E1253" authorId="1" shapeId="0">
      <text>
        <r>
          <rPr>
            <sz val="11"/>
            <color theme="1"/>
            <rFont val="Calibri"/>
            <family val="2"/>
            <scheme val="minor"/>
          </rPr>
          <t>Seleccione un valor de la lista</t>
        </r>
      </text>
    </comment>
    <comment ref="F1253" authorId="2" shapeId="0">
      <text>
        <r>
          <rPr>
            <sz val="11"/>
            <color theme="1"/>
            <rFont val="Calibri"/>
            <family val="2"/>
            <scheme val="minor"/>
          </rPr>
          <t>Introduzca el código SNIP</t>
        </r>
      </text>
    </comment>
    <comment ref="C1254" authorId="2" shapeId="0">
      <text>
        <r>
          <rPr>
            <sz val="11"/>
            <color theme="1"/>
            <rFont val="Calibri"/>
            <family val="2"/>
            <scheme val="minor"/>
          </rPr>
          <t>Introduzca la fecha de inicio del proceso, en formato dd-mm-aaaa</t>
        </r>
      </text>
    </comment>
    <comment ref="F12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2" shapeId="0">
      <text/>
    </comment>
    <comment ref="C1256" authorId="2" shapeId="0">
      <text>
        <r>
          <rPr>
            <sz val="11"/>
            <color theme="1"/>
            <rFont val="Calibri"/>
            <family val="2"/>
            <scheme val="minor"/>
          </rPr>
          <t>Introduzca la fecha prevista de adjudicación, en formato dd-mm-aaaa</t>
        </r>
      </text>
    </comment>
    <comment ref="F1256" authorId="2" shapeId="0">
      <text/>
    </comment>
    <comment ref="F1257" authorId="2" shapeId="0">
      <text/>
    </comment>
    <comment ref="A1259" authorId="2" shapeId="0">
      <text>
        <r>
          <rPr>
            <sz val="11"/>
            <color theme="1"/>
            <rFont val="Calibri"/>
            <family val="2"/>
            <scheme val="minor"/>
          </rPr>
          <t>Introduzca un codigo UNSPSC</t>
        </r>
      </text>
    </comment>
    <comment ref="B1259" authorId="2" shapeId="0">
      <text>
        <r>
          <rPr>
            <sz val="11"/>
            <color theme="1"/>
            <rFont val="Calibri"/>
            <family val="2"/>
            <scheme val="minor"/>
          </rPr>
          <t>Descripción calculada automáticamente a partir de código del artículo</t>
        </r>
      </text>
    </comment>
    <comment ref="C1259" authorId="2" shapeId="0">
      <text>
        <r>
          <rPr>
            <sz val="11"/>
            <color theme="1"/>
            <rFont val="Calibri"/>
            <family val="2"/>
            <scheme val="minor"/>
          </rPr>
          <t>Seleccione un valor de la lista</t>
        </r>
      </text>
    </comment>
    <comment ref="D1259" authorId="2" shapeId="0">
      <text>
        <r>
          <rPr>
            <sz val="11"/>
            <color theme="1"/>
            <rFont val="Calibri"/>
            <family val="2"/>
            <scheme val="minor"/>
          </rPr>
          <t>Introduzca un número con dos decimales como máximo. Debe ser igual o mayor a la "Cantidad Real Consumida"</t>
        </r>
      </text>
    </comment>
    <comment ref="E1259" authorId="2" shapeId="0">
      <text>
        <r>
          <rPr>
            <sz val="11"/>
            <color theme="1"/>
            <rFont val="Calibri"/>
            <family val="2"/>
            <scheme val="minor"/>
          </rPr>
          <t>Introduzca un número con dos decimales como máximo</t>
        </r>
      </text>
    </comment>
    <comment ref="F1259" authorId="2" shapeId="0">
      <text>
        <r>
          <rPr>
            <sz val="11"/>
            <color theme="1"/>
            <rFont val="Calibri"/>
            <family val="2"/>
            <scheme val="minor"/>
          </rPr>
          <t>Monto calculado automáticamente por el sistema</t>
        </r>
      </text>
    </comment>
    <comment ref="A1264" authorId="2" shapeId="0">
      <text>
        <r>
          <rPr>
            <sz val="11"/>
            <color theme="1"/>
            <rFont val="Calibri"/>
            <family val="2"/>
            <scheme val="minor"/>
          </rPr>
          <t>Introducir un texto con el nombre o referencia de la contratación</t>
        </r>
      </text>
    </comment>
    <comment ref="B1264" authorId="2" shapeId="0">
      <text>
        <r>
          <rPr>
            <sz val="11"/>
            <color theme="1"/>
            <rFont val="Calibri"/>
            <family val="2"/>
            <scheme val="minor"/>
          </rPr>
          <t>Introduzca un texto con la finalidad de la contratación</t>
        </r>
      </text>
    </comment>
    <comment ref="C1264" authorId="2" shapeId="0">
      <text>
        <r>
          <rPr>
            <sz val="11"/>
            <color theme="1"/>
            <rFont val="Calibri"/>
            <family val="2"/>
            <scheme val="minor"/>
          </rPr>
          <t>Seleccionar un valor del listado</t>
        </r>
      </text>
    </comment>
    <comment ref="D1264" authorId="2" shapeId="0">
      <text>
        <r>
          <rPr>
            <sz val="11"/>
            <color theme="1"/>
            <rFont val="Calibri"/>
            <family val="2"/>
            <scheme val="minor"/>
          </rPr>
          <t>Seleccione el tipo de procedimiento</t>
        </r>
      </text>
    </comment>
    <comment ref="E1264" authorId="2" shapeId="0">
      <text>
        <r>
          <rPr>
            <sz val="11"/>
            <color theme="1"/>
            <rFont val="Calibri"/>
            <family val="2"/>
            <scheme val="minor"/>
          </rPr>
          <t>Seleccione un valor de la lista</t>
        </r>
      </text>
    </comment>
    <comment ref="F1264" authorId="2" shapeId="0">
      <text>
        <r>
          <rPr>
            <sz val="11"/>
            <color theme="1"/>
            <rFont val="Calibri"/>
            <family val="2"/>
            <scheme val="minor"/>
          </rPr>
          <t>Introduzca el código SNIP</t>
        </r>
      </text>
    </comment>
    <comment ref="C1265" authorId="2" shapeId="0">
      <text>
        <r>
          <rPr>
            <sz val="11"/>
            <color theme="1"/>
            <rFont val="Calibri"/>
            <family val="2"/>
            <scheme val="minor"/>
          </rPr>
          <t>Introduzca la fecha de inicio del proceso, en formato dd-mm-aaaa</t>
        </r>
      </text>
    </comment>
    <comment ref="F12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2" shapeId="0">
      <text/>
    </comment>
    <comment ref="C1267" authorId="2" shapeId="0">
      <text>
        <r>
          <rPr>
            <sz val="11"/>
            <color theme="1"/>
            <rFont val="Calibri"/>
            <family val="2"/>
            <scheme val="minor"/>
          </rPr>
          <t>Introduzca la fecha prevista de adjudicación, en formato dd-mm-aaaa</t>
        </r>
      </text>
    </comment>
    <comment ref="F1267" authorId="2" shapeId="0">
      <text/>
    </comment>
    <comment ref="F1268" authorId="2" shapeId="0">
      <text/>
    </comment>
    <comment ref="A1270" authorId="2" shapeId="0">
      <text>
        <r>
          <rPr>
            <sz val="11"/>
            <color theme="1"/>
            <rFont val="Calibri"/>
            <family val="2"/>
            <scheme val="minor"/>
          </rPr>
          <t>Introduzca un codigo UNSPSC</t>
        </r>
      </text>
    </comment>
    <comment ref="B1270" authorId="2" shapeId="0">
      <text>
        <r>
          <rPr>
            <sz val="11"/>
            <color theme="1"/>
            <rFont val="Calibri"/>
            <family val="2"/>
            <scheme val="minor"/>
          </rPr>
          <t>Descripción calculada automáticamente a partir de código del artículo</t>
        </r>
      </text>
    </comment>
    <comment ref="C1270" authorId="2" shapeId="0">
      <text>
        <r>
          <rPr>
            <sz val="11"/>
            <color theme="1"/>
            <rFont val="Calibri"/>
            <family val="2"/>
            <scheme val="minor"/>
          </rPr>
          <t>Seleccione un valor de la lista</t>
        </r>
      </text>
    </comment>
    <comment ref="D1270" authorId="2" shapeId="0">
      <text>
        <r>
          <rPr>
            <sz val="11"/>
            <color theme="1"/>
            <rFont val="Calibri"/>
            <family val="2"/>
            <scheme val="minor"/>
          </rPr>
          <t>Introduzca un número con dos decimales como máximo. Debe ser igual o mayor a la "Cantidad Real Consumida"</t>
        </r>
      </text>
    </comment>
    <comment ref="E1270" authorId="2" shapeId="0">
      <text>
        <r>
          <rPr>
            <sz val="11"/>
            <color theme="1"/>
            <rFont val="Calibri"/>
            <family val="2"/>
            <scheme val="minor"/>
          </rPr>
          <t>Introduzca un número con dos decimales como máximo</t>
        </r>
      </text>
    </comment>
    <comment ref="F1270" authorId="2" shapeId="0">
      <text>
        <r>
          <rPr>
            <sz val="11"/>
            <color theme="1"/>
            <rFont val="Calibri"/>
            <family val="2"/>
            <scheme val="minor"/>
          </rPr>
          <t>Monto calculado automáticamente por el sistema</t>
        </r>
      </text>
    </comment>
    <comment ref="A1280" authorId="2" shapeId="0">
      <text>
        <r>
          <rPr>
            <sz val="11"/>
            <color theme="1"/>
            <rFont val="Calibri"/>
            <family val="2"/>
            <scheme val="minor"/>
          </rPr>
          <t>Introducir un texto con el nombre o referencia de la contratación</t>
        </r>
      </text>
    </comment>
    <comment ref="B1280" authorId="2" shapeId="0">
      <text>
        <r>
          <rPr>
            <sz val="11"/>
            <color theme="1"/>
            <rFont val="Calibri"/>
            <family val="2"/>
            <scheme val="minor"/>
          </rPr>
          <t>Introduzca un texto con la finalidad de la contratación</t>
        </r>
      </text>
    </comment>
    <comment ref="C1280" authorId="2" shapeId="0">
      <text>
        <r>
          <rPr>
            <sz val="11"/>
            <color theme="1"/>
            <rFont val="Calibri"/>
            <family val="2"/>
            <scheme val="minor"/>
          </rPr>
          <t>Seleccionar un valor del listado</t>
        </r>
      </text>
    </comment>
    <comment ref="D1280" authorId="2" shapeId="0">
      <text>
        <r>
          <rPr>
            <sz val="11"/>
            <color theme="1"/>
            <rFont val="Calibri"/>
            <family val="2"/>
            <scheme val="minor"/>
          </rPr>
          <t>Seleccione el tipo de procedimiento</t>
        </r>
      </text>
    </comment>
    <comment ref="E1280" authorId="2" shapeId="0">
      <text>
        <r>
          <rPr>
            <sz val="11"/>
            <color theme="1"/>
            <rFont val="Calibri"/>
            <family val="2"/>
            <scheme val="minor"/>
          </rPr>
          <t>Seleccione un valor de la lista</t>
        </r>
      </text>
    </comment>
    <comment ref="F1280" authorId="2" shapeId="0">
      <text>
        <r>
          <rPr>
            <sz val="11"/>
            <color theme="1"/>
            <rFont val="Calibri"/>
            <family val="2"/>
            <scheme val="minor"/>
          </rPr>
          <t>Introduzca el código SNIP</t>
        </r>
      </text>
    </comment>
    <comment ref="C1281" authorId="2" shapeId="0">
      <text>
        <r>
          <rPr>
            <sz val="11"/>
            <color theme="1"/>
            <rFont val="Calibri"/>
            <family val="2"/>
            <scheme val="minor"/>
          </rPr>
          <t>Introduzca la fecha de inicio del proceso, en formato dd-mm-aaaa</t>
        </r>
      </text>
    </comment>
    <comment ref="F1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2" shapeId="0">
      <text/>
    </comment>
    <comment ref="C1283" authorId="2" shapeId="0">
      <text>
        <r>
          <rPr>
            <sz val="11"/>
            <color theme="1"/>
            <rFont val="Calibri"/>
            <family val="2"/>
            <scheme val="minor"/>
          </rPr>
          <t>Introduzca la fecha prevista de adjudicación, en formato dd-mm-aaaa</t>
        </r>
      </text>
    </comment>
    <comment ref="F1283" authorId="2" shapeId="0">
      <text/>
    </comment>
    <comment ref="F1284" authorId="2" shapeId="0">
      <text/>
    </comment>
    <comment ref="A1286" authorId="2" shapeId="0">
      <text>
        <r>
          <rPr>
            <sz val="11"/>
            <color theme="1"/>
            <rFont val="Calibri"/>
            <family val="2"/>
            <scheme val="minor"/>
          </rPr>
          <t>Introduzca un codigo UNSPSC</t>
        </r>
      </text>
    </comment>
    <comment ref="B1286" authorId="2" shapeId="0">
      <text>
        <r>
          <rPr>
            <sz val="11"/>
            <color theme="1"/>
            <rFont val="Calibri"/>
            <family val="2"/>
            <scheme val="minor"/>
          </rPr>
          <t>Descripción calculada automáticamente a partir de código del artículo</t>
        </r>
      </text>
    </comment>
    <comment ref="C1286" authorId="2" shapeId="0">
      <text>
        <r>
          <rPr>
            <sz val="11"/>
            <color theme="1"/>
            <rFont val="Calibri"/>
            <family val="2"/>
            <scheme val="minor"/>
          </rPr>
          <t>Seleccione un valor de la lista</t>
        </r>
      </text>
    </comment>
    <comment ref="D1286" authorId="2" shapeId="0">
      <text>
        <r>
          <rPr>
            <sz val="11"/>
            <color theme="1"/>
            <rFont val="Calibri"/>
            <family val="2"/>
            <scheme val="minor"/>
          </rPr>
          <t>Introduzca un número con dos decimales como máximo. Debe ser igual o mayor a la "Cantidad Real Consumida"</t>
        </r>
      </text>
    </comment>
    <comment ref="E1286" authorId="2" shapeId="0">
      <text>
        <r>
          <rPr>
            <sz val="11"/>
            <color theme="1"/>
            <rFont val="Calibri"/>
            <family val="2"/>
            <scheme val="minor"/>
          </rPr>
          <t>Introduzca un número con dos decimales como máximo</t>
        </r>
      </text>
    </comment>
    <comment ref="F1286" authorId="2" shapeId="0">
      <text>
        <r>
          <rPr>
            <sz val="11"/>
            <color theme="1"/>
            <rFont val="Calibri"/>
            <family val="2"/>
            <scheme val="minor"/>
          </rPr>
          <t>Monto calculado automáticamente por el sistema</t>
        </r>
      </text>
    </comment>
    <comment ref="A1291" authorId="1" shapeId="0">
      <text>
        <r>
          <rPr>
            <sz val="11"/>
            <color theme="1"/>
            <rFont val="Calibri"/>
            <family val="2"/>
            <scheme val="minor"/>
          </rPr>
          <t>Introducir un texto con el nombre o referencia de la contratación</t>
        </r>
      </text>
    </comment>
    <comment ref="B1291" authorId="1" shapeId="0">
      <text>
        <r>
          <rPr>
            <sz val="11"/>
            <color theme="1"/>
            <rFont val="Calibri"/>
            <family val="2"/>
            <scheme val="minor"/>
          </rPr>
          <t>Introduzca un texto con la finalidad de la contratación</t>
        </r>
      </text>
    </comment>
    <comment ref="C1291" authorId="1" shapeId="0">
      <text>
        <r>
          <rPr>
            <sz val="11"/>
            <color theme="1"/>
            <rFont val="Calibri"/>
            <family val="2"/>
            <scheme val="minor"/>
          </rPr>
          <t>Seleccionar un valor del listado</t>
        </r>
      </text>
    </comment>
    <comment ref="D1291" authorId="1" shapeId="0">
      <text>
        <r>
          <rPr>
            <sz val="11"/>
            <color theme="1"/>
            <rFont val="Calibri"/>
            <family val="2"/>
            <scheme val="minor"/>
          </rPr>
          <t>Seleccione el tipo de procedimiento</t>
        </r>
      </text>
    </comment>
    <comment ref="E1291" authorId="1" shapeId="0">
      <text>
        <r>
          <rPr>
            <sz val="11"/>
            <color theme="1"/>
            <rFont val="Calibri"/>
            <family val="2"/>
            <scheme val="minor"/>
          </rPr>
          <t>Seleccione un valor de la lista</t>
        </r>
      </text>
    </comment>
    <comment ref="F1291" authorId="2" shapeId="0">
      <text>
        <r>
          <rPr>
            <sz val="11"/>
            <color theme="1"/>
            <rFont val="Calibri"/>
            <family val="2"/>
            <scheme val="minor"/>
          </rPr>
          <t>Introduzca el código SNIP</t>
        </r>
      </text>
    </comment>
    <comment ref="C1292" authorId="2" shapeId="0">
      <text>
        <r>
          <rPr>
            <sz val="11"/>
            <color theme="1"/>
            <rFont val="Calibri"/>
            <family val="2"/>
            <scheme val="minor"/>
          </rPr>
          <t>Introduzca la fecha de inicio del proceso, en formato dd-mm-aaaa</t>
        </r>
      </text>
    </comment>
    <comment ref="F12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text/>
    </comment>
    <comment ref="C1294" authorId="2" shapeId="0">
      <text>
        <r>
          <rPr>
            <sz val="11"/>
            <color theme="1"/>
            <rFont val="Calibri"/>
            <family val="2"/>
            <scheme val="minor"/>
          </rPr>
          <t>Introduzca la fecha prevista de adjudicación, en formato dd-mm-aaaa</t>
        </r>
      </text>
    </comment>
    <comment ref="F1294" authorId="2" shapeId="0">
      <text/>
    </comment>
    <comment ref="F1295" authorId="2" shapeId="0">
      <text/>
    </comment>
    <comment ref="A1297" authorId="2" shapeId="0">
      <text>
        <r>
          <rPr>
            <sz val="11"/>
            <color theme="1"/>
            <rFont val="Calibri"/>
            <family val="2"/>
            <scheme val="minor"/>
          </rPr>
          <t>Introduzca un codigo UNSPSC</t>
        </r>
      </text>
    </comment>
    <comment ref="B1297" authorId="2" shapeId="0">
      <text>
        <r>
          <rPr>
            <sz val="11"/>
            <color theme="1"/>
            <rFont val="Calibri"/>
            <family val="2"/>
            <scheme val="minor"/>
          </rPr>
          <t>Descripción calculada automáticamente a partir de código del artículo</t>
        </r>
      </text>
    </comment>
    <comment ref="C1297" authorId="2" shapeId="0">
      <text>
        <r>
          <rPr>
            <sz val="11"/>
            <color theme="1"/>
            <rFont val="Calibri"/>
            <family val="2"/>
            <scheme val="minor"/>
          </rPr>
          <t>Seleccione un valor de la lista</t>
        </r>
      </text>
    </comment>
    <comment ref="D1297" authorId="2" shapeId="0">
      <text>
        <r>
          <rPr>
            <sz val="11"/>
            <color theme="1"/>
            <rFont val="Calibri"/>
            <family val="2"/>
            <scheme val="minor"/>
          </rPr>
          <t>Introduzca un número con dos decimales como máximo. Debe ser igual o mayor a la "Cantidad Real Consumida"</t>
        </r>
      </text>
    </comment>
    <comment ref="E1297" authorId="2" shapeId="0">
      <text>
        <r>
          <rPr>
            <sz val="11"/>
            <color theme="1"/>
            <rFont val="Calibri"/>
            <family val="2"/>
            <scheme val="minor"/>
          </rPr>
          <t>Introduzca un número con dos decimales como máximo</t>
        </r>
      </text>
    </comment>
    <comment ref="F1297" authorId="2" shapeId="0">
      <text>
        <r>
          <rPr>
            <sz val="11"/>
            <color theme="1"/>
            <rFont val="Calibri"/>
            <family val="2"/>
            <scheme val="minor"/>
          </rPr>
          <t>Monto calculado automáticamente por el sistema</t>
        </r>
      </text>
    </comment>
    <comment ref="A1302" authorId="1" shapeId="0">
      <text>
        <r>
          <rPr>
            <sz val="11"/>
            <color theme="1"/>
            <rFont val="Calibri"/>
            <family val="2"/>
            <scheme val="minor"/>
          </rPr>
          <t>Introducir un texto con el nombre o referencia de la contratación</t>
        </r>
      </text>
    </comment>
    <comment ref="B1302" authorId="1" shapeId="0">
      <text>
        <r>
          <rPr>
            <sz val="11"/>
            <color theme="1"/>
            <rFont val="Calibri"/>
            <family val="2"/>
            <scheme val="minor"/>
          </rPr>
          <t>Introduzca un texto con la finalidad de la contratación</t>
        </r>
      </text>
    </comment>
    <comment ref="C1302" authorId="1" shapeId="0">
      <text>
        <r>
          <rPr>
            <sz val="11"/>
            <color theme="1"/>
            <rFont val="Calibri"/>
            <family val="2"/>
            <scheme val="minor"/>
          </rPr>
          <t>Seleccionar un valor del listado</t>
        </r>
      </text>
    </comment>
    <comment ref="D1302" authorId="1" shapeId="0">
      <text>
        <r>
          <rPr>
            <sz val="11"/>
            <color theme="1"/>
            <rFont val="Calibri"/>
            <family val="2"/>
            <scheme val="minor"/>
          </rPr>
          <t>Seleccione el tipo de procedimiento</t>
        </r>
      </text>
    </comment>
    <comment ref="E1302" authorId="1" shapeId="0">
      <text>
        <r>
          <rPr>
            <sz val="11"/>
            <color theme="1"/>
            <rFont val="Calibri"/>
            <family val="2"/>
            <scheme val="minor"/>
          </rPr>
          <t>Seleccione un valor de la lista</t>
        </r>
      </text>
    </comment>
    <comment ref="F1302" authorId="2" shapeId="0">
      <text>
        <r>
          <rPr>
            <sz val="11"/>
            <color theme="1"/>
            <rFont val="Calibri"/>
            <family val="2"/>
            <scheme val="minor"/>
          </rPr>
          <t>Introduzca el código SNIP</t>
        </r>
      </text>
    </comment>
    <comment ref="C1303" authorId="2" shapeId="0">
      <text>
        <r>
          <rPr>
            <sz val="11"/>
            <color theme="1"/>
            <rFont val="Calibri"/>
            <family val="2"/>
            <scheme val="minor"/>
          </rPr>
          <t>Introduzca la fecha de inicio del proceso, en formato dd-mm-aaaa</t>
        </r>
      </text>
    </comment>
    <comment ref="F13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2" shapeId="0">
      <text/>
    </comment>
    <comment ref="C1305" authorId="2" shapeId="0">
      <text>
        <r>
          <rPr>
            <sz val="11"/>
            <color theme="1"/>
            <rFont val="Calibri"/>
            <family val="2"/>
            <scheme val="minor"/>
          </rPr>
          <t>Introduzca la fecha prevista de adjudicación, en formato dd-mm-aaaa</t>
        </r>
      </text>
    </comment>
    <comment ref="F1305" authorId="2" shapeId="0">
      <text/>
    </comment>
    <comment ref="F1306" authorId="2" shapeId="0">
      <text/>
    </comment>
    <comment ref="A1308" authorId="2" shapeId="0">
      <text>
        <r>
          <rPr>
            <sz val="11"/>
            <color theme="1"/>
            <rFont val="Calibri"/>
            <family val="2"/>
            <scheme val="minor"/>
          </rPr>
          <t>Introduzca un codigo UNSPSC</t>
        </r>
      </text>
    </comment>
    <comment ref="B1308" authorId="2" shapeId="0">
      <text>
        <r>
          <rPr>
            <sz val="11"/>
            <color theme="1"/>
            <rFont val="Calibri"/>
            <family val="2"/>
            <scheme val="minor"/>
          </rPr>
          <t>Descripción calculada automáticamente a partir de código del artículo</t>
        </r>
      </text>
    </comment>
    <comment ref="C1308" authorId="2" shapeId="0">
      <text>
        <r>
          <rPr>
            <sz val="11"/>
            <color theme="1"/>
            <rFont val="Calibri"/>
            <family val="2"/>
            <scheme val="minor"/>
          </rPr>
          <t>Seleccione un valor de la lista</t>
        </r>
      </text>
    </comment>
    <comment ref="D1308" authorId="2" shapeId="0">
      <text>
        <r>
          <rPr>
            <sz val="11"/>
            <color theme="1"/>
            <rFont val="Calibri"/>
            <family val="2"/>
            <scheme val="minor"/>
          </rPr>
          <t>Introduzca un número con dos decimales como máximo. Debe ser igual o mayor a la "Cantidad Real Consumida"</t>
        </r>
      </text>
    </comment>
    <comment ref="E1308" authorId="2" shapeId="0">
      <text>
        <r>
          <rPr>
            <sz val="11"/>
            <color theme="1"/>
            <rFont val="Calibri"/>
            <family val="2"/>
            <scheme val="minor"/>
          </rPr>
          <t>Introduzca un número con dos decimales como máximo</t>
        </r>
      </text>
    </comment>
    <comment ref="F1308" authorId="2" shapeId="0">
      <text>
        <r>
          <rPr>
            <sz val="11"/>
            <color theme="1"/>
            <rFont val="Calibri"/>
            <family val="2"/>
            <scheme val="minor"/>
          </rPr>
          <t>Monto calculado automáticamente por el sistema</t>
        </r>
      </text>
    </comment>
    <comment ref="A1313" authorId="1" shapeId="0">
      <text>
        <r>
          <rPr>
            <sz val="11"/>
            <color theme="1"/>
            <rFont val="Calibri"/>
            <family val="2"/>
            <scheme val="minor"/>
          </rPr>
          <t>Introducir un texto con el nombre o referencia de la contratación</t>
        </r>
      </text>
    </comment>
    <comment ref="B1313" authorId="1" shapeId="0">
      <text>
        <r>
          <rPr>
            <sz val="11"/>
            <color theme="1"/>
            <rFont val="Calibri"/>
            <family val="2"/>
            <scheme val="minor"/>
          </rPr>
          <t>Introduzca un texto con la finalidad de la contratación</t>
        </r>
      </text>
    </comment>
    <comment ref="C1313" authorId="1" shapeId="0">
      <text>
        <r>
          <rPr>
            <sz val="11"/>
            <color theme="1"/>
            <rFont val="Calibri"/>
            <family val="2"/>
            <scheme val="minor"/>
          </rPr>
          <t>Seleccionar un valor del listado</t>
        </r>
      </text>
    </comment>
    <comment ref="D1313" authorId="1" shapeId="0">
      <text>
        <r>
          <rPr>
            <sz val="11"/>
            <color theme="1"/>
            <rFont val="Calibri"/>
            <family val="2"/>
            <scheme val="minor"/>
          </rPr>
          <t>Seleccione el tipo de procedimiento</t>
        </r>
      </text>
    </comment>
    <comment ref="E1313" authorId="1" shapeId="0">
      <text>
        <r>
          <rPr>
            <sz val="11"/>
            <color theme="1"/>
            <rFont val="Calibri"/>
            <family val="2"/>
            <scheme val="minor"/>
          </rPr>
          <t>Seleccione un valor de la lista</t>
        </r>
      </text>
    </comment>
    <comment ref="F1313" authorId="2" shapeId="0">
      <text>
        <r>
          <rPr>
            <sz val="11"/>
            <color theme="1"/>
            <rFont val="Calibri"/>
            <family val="2"/>
            <scheme val="minor"/>
          </rPr>
          <t>Introduzca el código SNIP</t>
        </r>
      </text>
    </comment>
    <comment ref="C1314" authorId="2" shapeId="0">
      <text>
        <r>
          <rPr>
            <sz val="11"/>
            <color theme="1"/>
            <rFont val="Calibri"/>
            <family val="2"/>
            <scheme val="minor"/>
          </rPr>
          <t>Introduzca la fecha de inicio del proceso, en formato dd-mm-aaaa</t>
        </r>
      </text>
    </comment>
    <comment ref="F1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2" shapeId="0">
      <text/>
    </comment>
    <comment ref="C1316" authorId="2" shapeId="0">
      <text>
        <r>
          <rPr>
            <sz val="11"/>
            <color theme="1"/>
            <rFont val="Calibri"/>
            <family val="2"/>
            <scheme val="minor"/>
          </rPr>
          <t>Introduzca la fecha prevista de adjudicación, en formato dd-mm-aaaa</t>
        </r>
      </text>
    </comment>
    <comment ref="F1316" authorId="2" shapeId="0">
      <text/>
    </comment>
    <comment ref="F1317" authorId="2" shapeId="0">
      <text/>
    </comment>
    <comment ref="A1319" authorId="2" shapeId="0">
      <text>
        <r>
          <rPr>
            <sz val="11"/>
            <color theme="1"/>
            <rFont val="Calibri"/>
            <family val="2"/>
            <scheme val="minor"/>
          </rPr>
          <t>Introduzca un codigo UNSPSC</t>
        </r>
      </text>
    </comment>
    <comment ref="B1319" authorId="2" shapeId="0">
      <text>
        <r>
          <rPr>
            <sz val="11"/>
            <color theme="1"/>
            <rFont val="Calibri"/>
            <family val="2"/>
            <scheme val="minor"/>
          </rPr>
          <t>Descripción calculada automáticamente a partir de código del artículo</t>
        </r>
      </text>
    </comment>
    <comment ref="C1319" authorId="2" shapeId="0">
      <text>
        <r>
          <rPr>
            <sz val="11"/>
            <color theme="1"/>
            <rFont val="Calibri"/>
            <family val="2"/>
            <scheme val="minor"/>
          </rPr>
          <t>Seleccione un valor de la lista</t>
        </r>
      </text>
    </comment>
    <comment ref="D1319" authorId="2" shapeId="0">
      <text>
        <r>
          <rPr>
            <sz val="11"/>
            <color theme="1"/>
            <rFont val="Calibri"/>
            <family val="2"/>
            <scheme val="minor"/>
          </rPr>
          <t>Introduzca un número con dos decimales como máximo. Debe ser igual o mayor a la "Cantidad Real Consumida"</t>
        </r>
      </text>
    </comment>
    <comment ref="E1319" authorId="2" shapeId="0">
      <text>
        <r>
          <rPr>
            <sz val="11"/>
            <color theme="1"/>
            <rFont val="Calibri"/>
            <family val="2"/>
            <scheme val="minor"/>
          </rPr>
          <t>Introduzca un número con dos decimales como máximo</t>
        </r>
      </text>
    </comment>
    <comment ref="F1319" authorId="2" shapeId="0">
      <text>
        <r>
          <rPr>
            <sz val="11"/>
            <color theme="1"/>
            <rFont val="Calibri"/>
            <family val="2"/>
            <scheme val="minor"/>
          </rPr>
          <t>Monto calculado automáticamente por el sistema</t>
        </r>
      </text>
    </comment>
    <comment ref="A1328" authorId="2" shapeId="0">
      <text>
        <r>
          <rPr>
            <sz val="11"/>
            <color theme="1"/>
            <rFont val="Calibri"/>
            <family val="2"/>
            <scheme val="minor"/>
          </rPr>
          <t>Introducir un texto con el nombre o referencia de la contratación</t>
        </r>
      </text>
    </comment>
    <comment ref="B1328" authorId="2" shapeId="0">
      <text>
        <r>
          <rPr>
            <sz val="11"/>
            <color theme="1"/>
            <rFont val="Calibri"/>
            <family val="2"/>
            <scheme val="minor"/>
          </rPr>
          <t>Introduzca un texto con la finalidad de la contratación</t>
        </r>
      </text>
    </comment>
    <comment ref="C1328" authorId="2" shapeId="0">
      <text>
        <r>
          <rPr>
            <sz val="11"/>
            <color theme="1"/>
            <rFont val="Calibri"/>
            <family val="2"/>
            <scheme val="minor"/>
          </rPr>
          <t>Seleccionar un valor del listado</t>
        </r>
      </text>
    </comment>
    <comment ref="D1328" authorId="2" shapeId="0">
      <text>
        <r>
          <rPr>
            <sz val="11"/>
            <color theme="1"/>
            <rFont val="Calibri"/>
            <family val="2"/>
            <scheme val="minor"/>
          </rPr>
          <t>Seleccione el tipo de procedimiento</t>
        </r>
      </text>
    </comment>
    <comment ref="E1328" authorId="2" shapeId="0">
      <text>
        <r>
          <rPr>
            <sz val="11"/>
            <color theme="1"/>
            <rFont val="Calibri"/>
            <family val="2"/>
            <scheme val="minor"/>
          </rPr>
          <t>Seleccione un valor de la lista</t>
        </r>
      </text>
    </comment>
    <comment ref="F1328" authorId="2" shapeId="0">
      <text>
        <r>
          <rPr>
            <sz val="11"/>
            <color theme="1"/>
            <rFont val="Calibri"/>
            <family val="2"/>
            <scheme val="minor"/>
          </rPr>
          <t>Introduzca el código SNIP</t>
        </r>
      </text>
    </comment>
    <comment ref="C1329" authorId="2" shapeId="0">
      <text>
        <r>
          <rPr>
            <sz val="11"/>
            <color theme="1"/>
            <rFont val="Calibri"/>
            <family val="2"/>
            <scheme val="minor"/>
          </rPr>
          <t>Introduzca la fecha de inicio del proceso, en formato dd-mm-aaaa</t>
        </r>
      </text>
    </comment>
    <comment ref="F13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2" shapeId="0">
      <text/>
    </comment>
    <comment ref="C1331" authorId="2" shapeId="0">
      <text>
        <r>
          <rPr>
            <sz val="11"/>
            <color theme="1"/>
            <rFont val="Calibri"/>
            <family val="2"/>
            <scheme val="minor"/>
          </rPr>
          <t>Introduzca la fecha prevista de adjudicación, en formato dd-mm-aaaa</t>
        </r>
      </text>
    </comment>
    <comment ref="F1331" authorId="2" shapeId="0">
      <text/>
    </comment>
    <comment ref="F1332" authorId="2" shapeId="0">
      <text/>
    </comment>
    <comment ref="A1334" authorId="2" shapeId="0">
      <text>
        <r>
          <rPr>
            <sz val="11"/>
            <color theme="1"/>
            <rFont val="Calibri"/>
            <family val="2"/>
            <scheme val="minor"/>
          </rPr>
          <t>Introduzca un codigo UNSPSC</t>
        </r>
      </text>
    </comment>
    <comment ref="B1334" authorId="2" shapeId="0">
      <text>
        <r>
          <rPr>
            <sz val="11"/>
            <color theme="1"/>
            <rFont val="Calibri"/>
            <family val="2"/>
            <scheme val="minor"/>
          </rPr>
          <t>Descripción calculada automáticamente a partir de código del artículo</t>
        </r>
      </text>
    </comment>
    <comment ref="C1334" authorId="2" shapeId="0">
      <text>
        <r>
          <rPr>
            <sz val="11"/>
            <color theme="1"/>
            <rFont val="Calibri"/>
            <family val="2"/>
            <scheme val="minor"/>
          </rPr>
          <t>Seleccione un valor de la lista</t>
        </r>
      </text>
    </comment>
    <comment ref="D1334" authorId="2" shapeId="0">
      <text>
        <r>
          <rPr>
            <sz val="11"/>
            <color theme="1"/>
            <rFont val="Calibri"/>
            <family val="2"/>
            <scheme val="minor"/>
          </rPr>
          <t>Introduzca un número con dos decimales como máximo. Debe ser igual o mayor a la "Cantidad Real Consumida"</t>
        </r>
      </text>
    </comment>
    <comment ref="E1334" authorId="2" shapeId="0">
      <text>
        <r>
          <rPr>
            <sz val="11"/>
            <color theme="1"/>
            <rFont val="Calibri"/>
            <family val="2"/>
            <scheme val="minor"/>
          </rPr>
          <t>Introduzca un número con dos decimales como máximo</t>
        </r>
      </text>
    </comment>
    <comment ref="F1334" authorId="2" shapeId="0">
      <text>
        <r>
          <rPr>
            <sz val="11"/>
            <color theme="1"/>
            <rFont val="Calibri"/>
            <family val="2"/>
            <scheme val="minor"/>
          </rPr>
          <t>Monto calculado automáticamente por el sistema</t>
        </r>
      </text>
    </comment>
    <comment ref="A1339" authorId="1" shapeId="0">
      <text>
        <r>
          <rPr>
            <sz val="11"/>
            <color theme="1"/>
            <rFont val="Calibri"/>
            <family val="2"/>
            <scheme val="minor"/>
          </rPr>
          <t>Introducir un texto con el nombre o referencia de la contratación</t>
        </r>
      </text>
    </comment>
    <comment ref="B1339" authorId="1" shapeId="0">
      <text>
        <r>
          <rPr>
            <sz val="11"/>
            <color theme="1"/>
            <rFont val="Calibri"/>
            <family val="2"/>
            <scheme val="minor"/>
          </rPr>
          <t>Introduzca un texto con la finalidad de la contratación</t>
        </r>
      </text>
    </comment>
    <comment ref="C1339" authorId="1" shapeId="0">
      <text>
        <r>
          <rPr>
            <sz val="11"/>
            <color theme="1"/>
            <rFont val="Calibri"/>
            <family val="2"/>
            <scheme val="minor"/>
          </rPr>
          <t>Seleccionar un valor del listado</t>
        </r>
      </text>
    </comment>
    <comment ref="D1339" authorId="1" shapeId="0">
      <text>
        <r>
          <rPr>
            <sz val="11"/>
            <color theme="1"/>
            <rFont val="Calibri"/>
            <family val="2"/>
            <scheme val="minor"/>
          </rPr>
          <t>Seleccione el tipo de procedimiento</t>
        </r>
      </text>
    </comment>
    <comment ref="E1339" authorId="1" shapeId="0">
      <text>
        <r>
          <rPr>
            <sz val="11"/>
            <color theme="1"/>
            <rFont val="Calibri"/>
            <family val="2"/>
            <scheme val="minor"/>
          </rPr>
          <t>Seleccione un valor de la lista</t>
        </r>
      </text>
    </comment>
    <comment ref="F1339" authorId="2" shapeId="0">
      <text>
        <r>
          <rPr>
            <sz val="11"/>
            <color theme="1"/>
            <rFont val="Calibri"/>
            <family val="2"/>
            <scheme val="minor"/>
          </rPr>
          <t>Introduzca el código SNIP</t>
        </r>
      </text>
    </comment>
    <comment ref="C1340" authorId="2" shapeId="0">
      <text>
        <r>
          <rPr>
            <sz val="11"/>
            <color theme="1"/>
            <rFont val="Calibri"/>
            <family val="2"/>
            <scheme val="minor"/>
          </rPr>
          <t>Introduzca la fecha de inicio del proceso, en formato dd-mm-aaaa</t>
        </r>
      </text>
    </comment>
    <comment ref="F1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2" shapeId="0">
      <text/>
    </comment>
    <comment ref="C1342" authorId="2" shapeId="0">
      <text>
        <r>
          <rPr>
            <sz val="11"/>
            <color theme="1"/>
            <rFont val="Calibri"/>
            <family val="2"/>
            <scheme val="minor"/>
          </rPr>
          <t>Introduzca la fecha prevista de adjudicación, en formato dd-mm-aaaa</t>
        </r>
      </text>
    </comment>
    <comment ref="F1342" authorId="2" shapeId="0">
      <text/>
    </comment>
    <comment ref="F1343" authorId="2" shapeId="0">
      <text/>
    </comment>
    <comment ref="A1345" authorId="2" shapeId="0">
      <text>
        <r>
          <rPr>
            <sz val="11"/>
            <color theme="1"/>
            <rFont val="Calibri"/>
            <family val="2"/>
            <scheme val="minor"/>
          </rPr>
          <t>Introduzca un codigo UNSPSC</t>
        </r>
      </text>
    </comment>
    <comment ref="B1345" authorId="2" shapeId="0">
      <text>
        <r>
          <rPr>
            <sz val="11"/>
            <color theme="1"/>
            <rFont val="Calibri"/>
            <family val="2"/>
            <scheme val="minor"/>
          </rPr>
          <t>Descripción calculada automáticamente a partir de código del artículo</t>
        </r>
      </text>
    </comment>
    <comment ref="C1345" authorId="2" shapeId="0">
      <text>
        <r>
          <rPr>
            <sz val="11"/>
            <color theme="1"/>
            <rFont val="Calibri"/>
            <family val="2"/>
            <scheme val="minor"/>
          </rPr>
          <t>Seleccione un valor de la lista</t>
        </r>
      </text>
    </comment>
    <comment ref="D1345" authorId="2" shapeId="0">
      <text>
        <r>
          <rPr>
            <sz val="11"/>
            <color theme="1"/>
            <rFont val="Calibri"/>
            <family val="2"/>
            <scheme val="minor"/>
          </rPr>
          <t>Introduzca un número con dos decimales como máximo. Debe ser igual o mayor a la "Cantidad Real Consumida"</t>
        </r>
      </text>
    </comment>
    <comment ref="E1345" authorId="2" shapeId="0">
      <text>
        <r>
          <rPr>
            <sz val="11"/>
            <color theme="1"/>
            <rFont val="Calibri"/>
            <family val="2"/>
            <scheme val="minor"/>
          </rPr>
          <t>Introduzca un número con dos decimales como máximo</t>
        </r>
      </text>
    </comment>
    <comment ref="F1345" authorId="2" shapeId="0">
      <text>
        <r>
          <rPr>
            <sz val="11"/>
            <color theme="1"/>
            <rFont val="Calibri"/>
            <family val="2"/>
            <scheme val="minor"/>
          </rPr>
          <t>Monto calculado automáticamente por el sistema</t>
        </r>
      </text>
    </comment>
    <comment ref="A1350" authorId="1" shapeId="0">
      <text>
        <r>
          <rPr>
            <sz val="11"/>
            <color theme="1"/>
            <rFont val="Calibri"/>
            <family val="2"/>
            <scheme val="minor"/>
          </rPr>
          <t>Introducir un texto con el nombre o referencia de la contratación</t>
        </r>
      </text>
    </comment>
    <comment ref="B1350" authorId="1" shapeId="0">
      <text>
        <r>
          <rPr>
            <sz val="11"/>
            <color theme="1"/>
            <rFont val="Calibri"/>
            <family val="2"/>
            <scheme val="minor"/>
          </rPr>
          <t>Introduzca un texto con la finalidad de la contratación</t>
        </r>
      </text>
    </comment>
    <comment ref="C1350" authorId="1" shapeId="0">
      <text>
        <r>
          <rPr>
            <sz val="11"/>
            <color theme="1"/>
            <rFont val="Calibri"/>
            <family val="2"/>
            <scheme val="minor"/>
          </rPr>
          <t>Seleccionar un valor del listado</t>
        </r>
      </text>
    </comment>
    <comment ref="D1350" authorId="1" shapeId="0">
      <text>
        <r>
          <rPr>
            <sz val="11"/>
            <color theme="1"/>
            <rFont val="Calibri"/>
            <family val="2"/>
            <scheme val="minor"/>
          </rPr>
          <t>Seleccione el tipo de procedimiento</t>
        </r>
      </text>
    </comment>
    <comment ref="E1350" authorId="1" shapeId="0">
      <text>
        <r>
          <rPr>
            <sz val="11"/>
            <color theme="1"/>
            <rFont val="Calibri"/>
            <family val="2"/>
            <scheme val="minor"/>
          </rPr>
          <t>Seleccione un valor de la lista</t>
        </r>
      </text>
    </comment>
    <comment ref="F1350" authorId="2" shapeId="0">
      <text>
        <r>
          <rPr>
            <sz val="11"/>
            <color theme="1"/>
            <rFont val="Calibri"/>
            <family val="2"/>
            <scheme val="minor"/>
          </rPr>
          <t>Introduzca el código SNIP</t>
        </r>
      </text>
    </comment>
    <comment ref="C1351" authorId="2" shapeId="0">
      <text>
        <r>
          <rPr>
            <sz val="11"/>
            <color theme="1"/>
            <rFont val="Calibri"/>
            <family val="2"/>
            <scheme val="minor"/>
          </rPr>
          <t>Introduzca la fecha de inicio del proceso, en formato dd-mm-aaaa</t>
        </r>
      </text>
    </comment>
    <comment ref="F1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text/>
    </comment>
    <comment ref="C1353" authorId="2" shapeId="0">
      <text>
        <r>
          <rPr>
            <sz val="11"/>
            <color theme="1"/>
            <rFont val="Calibri"/>
            <family val="2"/>
            <scheme val="minor"/>
          </rPr>
          <t>Introduzca la fecha prevista de adjudicación, en formato dd-mm-aaaa</t>
        </r>
      </text>
    </comment>
    <comment ref="F1353" authorId="2" shapeId="0">
      <text/>
    </comment>
    <comment ref="F1354" authorId="2" shapeId="0">
      <text/>
    </comment>
    <comment ref="A1356" authorId="2" shapeId="0">
      <text>
        <r>
          <rPr>
            <sz val="11"/>
            <color theme="1"/>
            <rFont val="Calibri"/>
            <family val="2"/>
            <scheme val="minor"/>
          </rPr>
          <t>Introduzca un codigo UNSPSC</t>
        </r>
      </text>
    </comment>
    <comment ref="B1356" authorId="2" shapeId="0">
      <text>
        <r>
          <rPr>
            <sz val="11"/>
            <color theme="1"/>
            <rFont val="Calibri"/>
            <family val="2"/>
            <scheme val="minor"/>
          </rPr>
          <t>Descripción calculada automáticamente a partir de código del artículo</t>
        </r>
      </text>
    </comment>
    <comment ref="C1356" authorId="2" shapeId="0">
      <text>
        <r>
          <rPr>
            <sz val="11"/>
            <color theme="1"/>
            <rFont val="Calibri"/>
            <family val="2"/>
            <scheme val="minor"/>
          </rPr>
          <t>Seleccione un valor de la lista</t>
        </r>
      </text>
    </comment>
    <comment ref="D1356" authorId="2" shapeId="0">
      <text>
        <r>
          <rPr>
            <sz val="11"/>
            <color theme="1"/>
            <rFont val="Calibri"/>
            <family val="2"/>
            <scheme val="minor"/>
          </rPr>
          <t>Introduzca un número con dos decimales como máximo. Debe ser igual o mayor a la "Cantidad Real Consumida"</t>
        </r>
      </text>
    </comment>
    <comment ref="E1356" authorId="2" shapeId="0">
      <text>
        <r>
          <rPr>
            <sz val="11"/>
            <color theme="1"/>
            <rFont val="Calibri"/>
            <family val="2"/>
            <scheme val="minor"/>
          </rPr>
          <t>Introduzca un número con dos decimales como máximo</t>
        </r>
      </text>
    </comment>
    <comment ref="F1356" authorId="2" shapeId="0">
      <text>
        <r>
          <rPr>
            <sz val="11"/>
            <color theme="1"/>
            <rFont val="Calibri"/>
            <family val="2"/>
            <scheme val="minor"/>
          </rPr>
          <t>Monto calculado automáticamente por el sistema</t>
        </r>
      </text>
    </comment>
    <comment ref="A1361" authorId="1" shapeId="0">
      <text>
        <r>
          <rPr>
            <sz val="11"/>
            <color theme="1"/>
            <rFont val="Calibri"/>
            <family val="2"/>
            <scheme val="minor"/>
          </rPr>
          <t>Introducir un texto con el nombre o referencia de la contratación</t>
        </r>
      </text>
    </comment>
    <comment ref="B1361" authorId="1" shapeId="0">
      <text>
        <r>
          <rPr>
            <sz val="11"/>
            <color theme="1"/>
            <rFont val="Calibri"/>
            <family val="2"/>
            <scheme val="minor"/>
          </rPr>
          <t>Introduzca un texto con la finalidad de la contratación</t>
        </r>
      </text>
    </comment>
    <comment ref="C1361" authorId="1" shapeId="0">
      <text>
        <r>
          <rPr>
            <sz val="11"/>
            <color theme="1"/>
            <rFont val="Calibri"/>
            <family val="2"/>
            <scheme val="minor"/>
          </rPr>
          <t>Seleccionar un valor del listado</t>
        </r>
      </text>
    </comment>
    <comment ref="D1361" authorId="1" shapeId="0">
      <text>
        <r>
          <rPr>
            <sz val="11"/>
            <color theme="1"/>
            <rFont val="Calibri"/>
            <family val="2"/>
            <scheme val="minor"/>
          </rPr>
          <t>Seleccione el tipo de procedimiento</t>
        </r>
      </text>
    </comment>
    <comment ref="E1361" authorId="1" shapeId="0">
      <text>
        <r>
          <rPr>
            <sz val="11"/>
            <color theme="1"/>
            <rFont val="Calibri"/>
            <family val="2"/>
            <scheme val="minor"/>
          </rPr>
          <t>Seleccione un valor de la lista</t>
        </r>
      </text>
    </comment>
    <comment ref="F1361" authorId="2" shapeId="0">
      <text>
        <r>
          <rPr>
            <sz val="11"/>
            <color theme="1"/>
            <rFont val="Calibri"/>
            <family val="2"/>
            <scheme val="minor"/>
          </rPr>
          <t>Introduzca el código SNIP</t>
        </r>
      </text>
    </comment>
    <comment ref="C1362" authorId="2" shapeId="0">
      <text>
        <r>
          <rPr>
            <sz val="11"/>
            <color theme="1"/>
            <rFont val="Calibri"/>
            <family val="2"/>
            <scheme val="minor"/>
          </rPr>
          <t>Introduzca la fecha de inicio del proceso, en formato dd-mm-aaaa</t>
        </r>
      </text>
    </comment>
    <comment ref="F13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2" shapeId="0">
      <text/>
    </comment>
    <comment ref="C1364" authorId="2" shapeId="0">
      <text>
        <r>
          <rPr>
            <sz val="11"/>
            <color theme="1"/>
            <rFont val="Calibri"/>
            <family val="2"/>
            <scheme val="minor"/>
          </rPr>
          <t>Introduzca la fecha prevista de adjudicación, en formato dd-mm-aaaa</t>
        </r>
      </text>
    </comment>
    <comment ref="F1364" authorId="2" shapeId="0">
      <text/>
    </comment>
    <comment ref="F1365" authorId="2" shapeId="0">
      <text/>
    </comment>
    <comment ref="A1367" authorId="2" shapeId="0">
      <text>
        <r>
          <rPr>
            <sz val="11"/>
            <color theme="1"/>
            <rFont val="Calibri"/>
            <family val="2"/>
            <scheme val="minor"/>
          </rPr>
          <t>Introduzca un codigo UNSPSC</t>
        </r>
      </text>
    </comment>
    <comment ref="B1367" authorId="2" shapeId="0">
      <text>
        <r>
          <rPr>
            <sz val="11"/>
            <color theme="1"/>
            <rFont val="Calibri"/>
            <family val="2"/>
            <scheme val="minor"/>
          </rPr>
          <t>Descripción calculada automáticamente a partir de código del artículo</t>
        </r>
      </text>
    </comment>
    <comment ref="C1367" authorId="2" shapeId="0">
      <text>
        <r>
          <rPr>
            <sz val="11"/>
            <color theme="1"/>
            <rFont val="Calibri"/>
            <family val="2"/>
            <scheme val="minor"/>
          </rPr>
          <t>Seleccione un valor de la lista</t>
        </r>
      </text>
    </comment>
    <comment ref="D1367" authorId="2" shapeId="0">
      <text>
        <r>
          <rPr>
            <sz val="11"/>
            <color theme="1"/>
            <rFont val="Calibri"/>
            <family val="2"/>
            <scheme val="minor"/>
          </rPr>
          <t>Introduzca un número con dos decimales como máximo. Debe ser igual o mayor a la "Cantidad Real Consumida"</t>
        </r>
      </text>
    </comment>
    <comment ref="E1367" authorId="2" shapeId="0">
      <text>
        <r>
          <rPr>
            <sz val="11"/>
            <color theme="1"/>
            <rFont val="Calibri"/>
            <family val="2"/>
            <scheme val="minor"/>
          </rPr>
          <t>Introduzca un número con dos decimales como máximo</t>
        </r>
      </text>
    </comment>
    <comment ref="F1367" authorId="2" shapeId="0">
      <text>
        <r>
          <rPr>
            <sz val="11"/>
            <color theme="1"/>
            <rFont val="Calibri"/>
            <family val="2"/>
            <scheme val="minor"/>
          </rPr>
          <t>Monto calculado automáticamente por el sistema</t>
        </r>
      </text>
    </comment>
    <comment ref="A1372" authorId="1" shapeId="0">
      <text>
        <r>
          <rPr>
            <sz val="11"/>
            <color theme="1"/>
            <rFont val="Calibri"/>
            <family val="2"/>
            <scheme val="minor"/>
          </rPr>
          <t>Introducir un texto con el nombre o referencia de la contratación</t>
        </r>
      </text>
    </comment>
    <comment ref="B1372" authorId="1" shapeId="0">
      <text>
        <r>
          <rPr>
            <sz val="11"/>
            <color theme="1"/>
            <rFont val="Calibri"/>
            <family val="2"/>
            <scheme val="minor"/>
          </rPr>
          <t>Introduzca un texto con la finalidad de la contratación</t>
        </r>
      </text>
    </comment>
    <comment ref="C1372" authorId="1" shapeId="0">
      <text>
        <r>
          <rPr>
            <sz val="11"/>
            <color theme="1"/>
            <rFont val="Calibri"/>
            <family val="2"/>
            <scheme val="minor"/>
          </rPr>
          <t>Seleccionar un valor del listado</t>
        </r>
      </text>
    </comment>
    <comment ref="D1372" authorId="1" shapeId="0">
      <text>
        <r>
          <rPr>
            <sz val="11"/>
            <color theme="1"/>
            <rFont val="Calibri"/>
            <family val="2"/>
            <scheme val="minor"/>
          </rPr>
          <t>Seleccione el tipo de procedimiento</t>
        </r>
      </text>
    </comment>
    <comment ref="E1372" authorId="1" shapeId="0">
      <text>
        <r>
          <rPr>
            <sz val="11"/>
            <color theme="1"/>
            <rFont val="Calibri"/>
            <family val="2"/>
            <scheme val="minor"/>
          </rPr>
          <t>Seleccione un valor de la lista</t>
        </r>
      </text>
    </comment>
    <comment ref="F1372" authorId="2" shapeId="0">
      <text>
        <r>
          <rPr>
            <sz val="11"/>
            <color theme="1"/>
            <rFont val="Calibri"/>
            <family val="2"/>
            <scheme val="minor"/>
          </rPr>
          <t>Introduzca el código SNIP</t>
        </r>
      </text>
    </comment>
    <comment ref="C1373" authorId="2" shapeId="0">
      <text>
        <r>
          <rPr>
            <sz val="11"/>
            <color theme="1"/>
            <rFont val="Calibri"/>
            <family val="2"/>
            <scheme val="minor"/>
          </rPr>
          <t>Introduzca la fecha de inicio del proceso, en formato dd-mm-aaaa</t>
        </r>
      </text>
    </comment>
    <comment ref="F13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2" shapeId="0">
      <text/>
    </comment>
    <comment ref="C1375" authorId="2" shapeId="0">
      <text>
        <r>
          <rPr>
            <sz val="11"/>
            <color theme="1"/>
            <rFont val="Calibri"/>
            <family val="2"/>
            <scheme val="minor"/>
          </rPr>
          <t>Introduzca la fecha prevista de adjudicación, en formato dd-mm-aaaa</t>
        </r>
      </text>
    </comment>
    <comment ref="F1375" authorId="2" shapeId="0">
      <text/>
    </comment>
    <comment ref="F1376" authorId="2" shapeId="0">
      <text/>
    </comment>
    <comment ref="A1378" authorId="2" shapeId="0">
      <text>
        <r>
          <rPr>
            <sz val="11"/>
            <color theme="1"/>
            <rFont val="Calibri"/>
            <family val="2"/>
            <scheme val="minor"/>
          </rPr>
          <t>Introduzca un codigo UNSPSC</t>
        </r>
      </text>
    </comment>
    <comment ref="B1378" authorId="2" shapeId="0">
      <text>
        <r>
          <rPr>
            <sz val="11"/>
            <color theme="1"/>
            <rFont val="Calibri"/>
            <family val="2"/>
            <scheme val="minor"/>
          </rPr>
          <t>Descripción calculada automáticamente a partir de código del artículo</t>
        </r>
      </text>
    </comment>
    <comment ref="C1378" authorId="2" shapeId="0">
      <text>
        <r>
          <rPr>
            <sz val="11"/>
            <color theme="1"/>
            <rFont val="Calibri"/>
            <family val="2"/>
            <scheme val="minor"/>
          </rPr>
          <t>Seleccione un valor de la lista</t>
        </r>
      </text>
    </comment>
    <comment ref="D1378" authorId="2" shapeId="0">
      <text>
        <r>
          <rPr>
            <sz val="11"/>
            <color theme="1"/>
            <rFont val="Calibri"/>
            <family val="2"/>
            <scheme val="minor"/>
          </rPr>
          <t>Introduzca un número con dos decimales como máximo. Debe ser igual o mayor a la "Cantidad Real Consumida"</t>
        </r>
      </text>
    </comment>
    <comment ref="E1378" authorId="2" shapeId="0">
      <text>
        <r>
          <rPr>
            <sz val="11"/>
            <color theme="1"/>
            <rFont val="Calibri"/>
            <family val="2"/>
            <scheme val="minor"/>
          </rPr>
          <t>Introduzca un número con dos decimales como máximo</t>
        </r>
      </text>
    </comment>
    <comment ref="F1378" authorId="2" shapeId="0">
      <text>
        <r>
          <rPr>
            <sz val="11"/>
            <color theme="1"/>
            <rFont val="Calibri"/>
            <family val="2"/>
            <scheme val="minor"/>
          </rPr>
          <t>Monto calculado automáticamente por el sistema</t>
        </r>
      </text>
    </comment>
    <comment ref="A1383" authorId="1" shapeId="0">
      <text>
        <r>
          <rPr>
            <sz val="11"/>
            <color theme="1"/>
            <rFont val="Calibri"/>
            <family val="2"/>
            <scheme val="minor"/>
          </rPr>
          <t>Introducir un texto con el nombre o referencia de la contratación</t>
        </r>
      </text>
    </comment>
    <comment ref="B1383" authorId="1" shapeId="0">
      <text>
        <r>
          <rPr>
            <sz val="11"/>
            <color theme="1"/>
            <rFont val="Calibri"/>
            <family val="2"/>
            <scheme val="minor"/>
          </rPr>
          <t>Introduzca un texto con la finalidad de la contratación</t>
        </r>
      </text>
    </comment>
    <comment ref="C1383" authorId="1" shapeId="0">
      <text>
        <r>
          <rPr>
            <sz val="11"/>
            <color theme="1"/>
            <rFont val="Calibri"/>
            <family val="2"/>
            <scheme val="minor"/>
          </rPr>
          <t>Seleccionar un valor del listado</t>
        </r>
      </text>
    </comment>
    <comment ref="D1383" authorId="1" shapeId="0">
      <text>
        <r>
          <rPr>
            <sz val="11"/>
            <color theme="1"/>
            <rFont val="Calibri"/>
            <family val="2"/>
            <scheme val="minor"/>
          </rPr>
          <t>Seleccione el tipo de procedimiento</t>
        </r>
      </text>
    </comment>
    <comment ref="E1383" authorId="1" shapeId="0">
      <text>
        <r>
          <rPr>
            <sz val="11"/>
            <color theme="1"/>
            <rFont val="Calibri"/>
            <family val="2"/>
            <scheme val="minor"/>
          </rPr>
          <t>Seleccione un valor de la lista</t>
        </r>
      </text>
    </comment>
    <comment ref="F1383" authorId="2" shapeId="0">
      <text>
        <r>
          <rPr>
            <sz val="11"/>
            <color theme="1"/>
            <rFont val="Calibri"/>
            <family val="2"/>
            <scheme val="minor"/>
          </rPr>
          <t>Introduzca el código SNIP</t>
        </r>
      </text>
    </comment>
    <comment ref="C1384" authorId="2" shapeId="0">
      <text>
        <r>
          <rPr>
            <sz val="11"/>
            <color theme="1"/>
            <rFont val="Calibri"/>
            <family val="2"/>
            <scheme val="minor"/>
          </rPr>
          <t>Introduzca la fecha de inicio del proceso, en formato dd-mm-aaaa</t>
        </r>
      </text>
    </comment>
    <comment ref="F13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2" shapeId="0">
      <text/>
    </comment>
    <comment ref="C1386" authorId="2" shapeId="0">
      <text>
        <r>
          <rPr>
            <sz val="11"/>
            <color theme="1"/>
            <rFont val="Calibri"/>
            <family val="2"/>
            <scheme val="minor"/>
          </rPr>
          <t>Introduzca la fecha prevista de adjudicación, en formato dd-mm-aaaa</t>
        </r>
      </text>
    </comment>
    <comment ref="F1386" authorId="2" shapeId="0">
      <text/>
    </comment>
    <comment ref="F1387" authorId="2" shapeId="0">
      <text/>
    </comment>
    <comment ref="A1389" authorId="2" shapeId="0">
      <text>
        <r>
          <rPr>
            <sz val="11"/>
            <color theme="1"/>
            <rFont val="Calibri"/>
            <family val="2"/>
            <scheme val="minor"/>
          </rPr>
          <t>Introduzca un codigo UNSPSC</t>
        </r>
      </text>
    </comment>
    <comment ref="B1389" authorId="2" shapeId="0">
      <text>
        <r>
          <rPr>
            <sz val="11"/>
            <color theme="1"/>
            <rFont val="Calibri"/>
            <family val="2"/>
            <scheme val="minor"/>
          </rPr>
          <t>Descripción calculada automáticamente a partir de código del artículo</t>
        </r>
      </text>
    </comment>
    <comment ref="C1389" authorId="2" shapeId="0">
      <text>
        <r>
          <rPr>
            <sz val="11"/>
            <color theme="1"/>
            <rFont val="Calibri"/>
            <family val="2"/>
            <scheme val="minor"/>
          </rPr>
          <t>Seleccione un valor de la lista</t>
        </r>
      </text>
    </comment>
    <comment ref="D1389" authorId="2" shapeId="0">
      <text>
        <r>
          <rPr>
            <sz val="11"/>
            <color theme="1"/>
            <rFont val="Calibri"/>
            <family val="2"/>
            <scheme val="minor"/>
          </rPr>
          <t>Introduzca un número con dos decimales como máximo. Debe ser igual o mayor a la "Cantidad Real Consumida"</t>
        </r>
      </text>
    </comment>
    <comment ref="E1389" authorId="2" shapeId="0">
      <text>
        <r>
          <rPr>
            <sz val="11"/>
            <color theme="1"/>
            <rFont val="Calibri"/>
            <family val="2"/>
            <scheme val="minor"/>
          </rPr>
          <t>Introduzca un número con dos decimales como máximo</t>
        </r>
      </text>
    </comment>
    <comment ref="F1389" authorId="2" shapeId="0">
      <text>
        <r>
          <rPr>
            <sz val="11"/>
            <color theme="1"/>
            <rFont val="Calibri"/>
            <family val="2"/>
            <scheme val="minor"/>
          </rPr>
          <t>Monto calculado automáticamente por el sistema</t>
        </r>
      </text>
    </comment>
    <comment ref="A1396" authorId="2" shapeId="0">
      <text>
        <r>
          <rPr>
            <sz val="11"/>
            <color theme="1"/>
            <rFont val="Calibri"/>
            <family val="2"/>
            <scheme val="minor"/>
          </rPr>
          <t>Introducir un texto con el nombre o referencia de la contratación</t>
        </r>
      </text>
    </comment>
    <comment ref="B1396" authorId="2" shapeId="0">
      <text>
        <r>
          <rPr>
            <sz val="11"/>
            <color theme="1"/>
            <rFont val="Calibri"/>
            <family val="2"/>
            <scheme val="minor"/>
          </rPr>
          <t>Introduzca un texto con la finalidad de la contratación</t>
        </r>
      </text>
    </comment>
    <comment ref="C1396" authorId="2" shapeId="0">
      <text>
        <r>
          <rPr>
            <sz val="11"/>
            <color theme="1"/>
            <rFont val="Calibri"/>
            <family val="2"/>
            <scheme val="minor"/>
          </rPr>
          <t>Seleccionar un valor del listado</t>
        </r>
      </text>
    </comment>
    <comment ref="D1396" authorId="2" shapeId="0">
      <text>
        <r>
          <rPr>
            <sz val="11"/>
            <color theme="1"/>
            <rFont val="Calibri"/>
            <family val="2"/>
            <scheme val="minor"/>
          </rPr>
          <t>Seleccione el tipo de procedimiento</t>
        </r>
      </text>
    </comment>
    <comment ref="E1396" authorId="2" shapeId="0">
      <text>
        <r>
          <rPr>
            <sz val="11"/>
            <color theme="1"/>
            <rFont val="Calibri"/>
            <family val="2"/>
            <scheme val="minor"/>
          </rPr>
          <t>Seleccione un valor de la lista</t>
        </r>
      </text>
    </comment>
    <comment ref="F1396" authorId="2" shapeId="0">
      <text>
        <r>
          <rPr>
            <sz val="11"/>
            <color theme="1"/>
            <rFont val="Calibri"/>
            <family val="2"/>
            <scheme val="minor"/>
          </rPr>
          <t>Introduzca el código SNIP</t>
        </r>
      </text>
    </comment>
    <comment ref="C1397" authorId="2" shapeId="0">
      <text>
        <r>
          <rPr>
            <sz val="11"/>
            <color theme="1"/>
            <rFont val="Calibri"/>
            <family val="2"/>
            <scheme val="minor"/>
          </rPr>
          <t>Introduzca la fecha de inicio del proceso, en formato dd-mm-aaaa</t>
        </r>
      </text>
    </comment>
    <comment ref="F13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2" shapeId="0">
      <text/>
    </comment>
    <comment ref="C1399" authorId="2" shapeId="0">
      <text>
        <r>
          <rPr>
            <sz val="11"/>
            <color theme="1"/>
            <rFont val="Calibri"/>
            <family val="2"/>
            <scheme val="minor"/>
          </rPr>
          <t>Introduzca la fecha prevista de adjudicación, en formato dd-mm-aaaa</t>
        </r>
      </text>
    </comment>
    <comment ref="F1399" authorId="2" shapeId="0">
      <text/>
    </comment>
    <comment ref="F1400" authorId="2" shapeId="0">
      <text/>
    </comment>
    <comment ref="A1402" authorId="2" shapeId="0">
      <text>
        <r>
          <rPr>
            <sz val="11"/>
            <color theme="1"/>
            <rFont val="Calibri"/>
            <family val="2"/>
            <scheme val="minor"/>
          </rPr>
          <t>Introduzca un codigo UNSPSC</t>
        </r>
      </text>
    </comment>
    <comment ref="B1402" authorId="2" shapeId="0">
      <text>
        <r>
          <rPr>
            <sz val="11"/>
            <color theme="1"/>
            <rFont val="Calibri"/>
            <family val="2"/>
            <scheme val="minor"/>
          </rPr>
          <t>Descripción calculada automáticamente a partir de código del artículo</t>
        </r>
      </text>
    </comment>
    <comment ref="C1402" authorId="2" shapeId="0">
      <text>
        <r>
          <rPr>
            <sz val="11"/>
            <color theme="1"/>
            <rFont val="Calibri"/>
            <family val="2"/>
            <scheme val="minor"/>
          </rPr>
          <t>Seleccione un valor de la lista</t>
        </r>
      </text>
    </comment>
    <comment ref="D1402" authorId="2" shapeId="0">
      <text>
        <r>
          <rPr>
            <sz val="11"/>
            <color theme="1"/>
            <rFont val="Calibri"/>
            <family val="2"/>
            <scheme val="minor"/>
          </rPr>
          <t>Introduzca un número con dos decimales como máximo. Debe ser igual o mayor a la "Cantidad Real Consumida"</t>
        </r>
      </text>
    </comment>
    <comment ref="E1402" authorId="2" shapeId="0">
      <text>
        <r>
          <rPr>
            <sz val="11"/>
            <color theme="1"/>
            <rFont val="Calibri"/>
            <family val="2"/>
            <scheme val="minor"/>
          </rPr>
          <t>Introduzca un número con dos decimales como máximo</t>
        </r>
      </text>
    </comment>
    <comment ref="F1402" authorId="2" shapeId="0">
      <text>
        <r>
          <rPr>
            <sz val="11"/>
            <color theme="1"/>
            <rFont val="Calibri"/>
            <family val="2"/>
            <scheme val="minor"/>
          </rPr>
          <t>Monto calculado automáticamente por el sistema</t>
        </r>
      </text>
    </comment>
    <comment ref="A1407" authorId="1" shapeId="0">
      <text>
        <r>
          <rPr>
            <sz val="11"/>
            <color theme="1"/>
            <rFont val="Calibri"/>
            <family val="2"/>
            <scheme val="minor"/>
          </rPr>
          <t>Introducir un texto con el nombre o referencia de la contratación</t>
        </r>
      </text>
    </comment>
    <comment ref="B1407" authorId="1" shapeId="0">
      <text>
        <r>
          <rPr>
            <sz val="11"/>
            <color theme="1"/>
            <rFont val="Calibri"/>
            <family val="2"/>
            <scheme val="minor"/>
          </rPr>
          <t>Introduzca un texto con la finalidad de la contratación</t>
        </r>
      </text>
    </comment>
    <comment ref="C1407" authorId="1" shapeId="0">
      <text>
        <r>
          <rPr>
            <sz val="11"/>
            <color theme="1"/>
            <rFont val="Calibri"/>
            <family val="2"/>
            <scheme val="minor"/>
          </rPr>
          <t>Seleccionar un valor del listado</t>
        </r>
      </text>
    </comment>
    <comment ref="D1407" authorId="1" shapeId="0">
      <text>
        <r>
          <rPr>
            <sz val="11"/>
            <color theme="1"/>
            <rFont val="Calibri"/>
            <family val="2"/>
            <scheme val="minor"/>
          </rPr>
          <t>Seleccione el tipo de procedimiento</t>
        </r>
      </text>
    </comment>
    <comment ref="E1407" authorId="1" shapeId="0">
      <text>
        <r>
          <rPr>
            <sz val="11"/>
            <color theme="1"/>
            <rFont val="Calibri"/>
            <family val="2"/>
            <scheme val="minor"/>
          </rPr>
          <t>Seleccione un valor de la lista</t>
        </r>
      </text>
    </comment>
    <comment ref="F1407" authorId="2" shapeId="0">
      <text>
        <r>
          <rPr>
            <sz val="11"/>
            <color theme="1"/>
            <rFont val="Calibri"/>
            <family val="2"/>
            <scheme val="minor"/>
          </rPr>
          <t>Introduzca el código SNIP</t>
        </r>
      </text>
    </comment>
    <comment ref="C1408" authorId="2" shapeId="0">
      <text>
        <r>
          <rPr>
            <sz val="11"/>
            <color theme="1"/>
            <rFont val="Calibri"/>
            <family val="2"/>
            <scheme val="minor"/>
          </rPr>
          <t>Introduzca la fecha de inicio del proceso, en formato dd-mm-aaaa</t>
        </r>
      </text>
    </comment>
    <comment ref="F14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2" shapeId="0">
      <text/>
    </comment>
    <comment ref="C1410" authorId="2" shapeId="0">
      <text>
        <r>
          <rPr>
            <sz val="11"/>
            <color theme="1"/>
            <rFont val="Calibri"/>
            <family val="2"/>
            <scheme val="minor"/>
          </rPr>
          <t>Introduzca la fecha prevista de adjudicación, en formato dd-mm-aaaa</t>
        </r>
      </text>
    </comment>
    <comment ref="F1410" authorId="2" shapeId="0">
      <text/>
    </comment>
    <comment ref="F1411" authorId="2" shapeId="0">
      <text/>
    </comment>
    <comment ref="A1413" authorId="2" shapeId="0">
      <text>
        <r>
          <rPr>
            <sz val="11"/>
            <color theme="1"/>
            <rFont val="Calibri"/>
            <family val="2"/>
            <scheme val="minor"/>
          </rPr>
          <t>Introduzca un codigo UNSPSC</t>
        </r>
      </text>
    </comment>
    <comment ref="B1413" authorId="2" shapeId="0">
      <text>
        <r>
          <rPr>
            <sz val="11"/>
            <color theme="1"/>
            <rFont val="Calibri"/>
            <family val="2"/>
            <scheme val="minor"/>
          </rPr>
          <t>Descripción calculada automáticamente a partir de código del artículo</t>
        </r>
      </text>
    </comment>
    <comment ref="C1413" authorId="2" shapeId="0">
      <text>
        <r>
          <rPr>
            <sz val="11"/>
            <color theme="1"/>
            <rFont val="Calibri"/>
            <family val="2"/>
            <scheme val="minor"/>
          </rPr>
          <t>Seleccione un valor de la lista</t>
        </r>
      </text>
    </comment>
    <comment ref="D1413" authorId="2" shapeId="0">
      <text>
        <r>
          <rPr>
            <sz val="11"/>
            <color theme="1"/>
            <rFont val="Calibri"/>
            <family val="2"/>
            <scheme val="minor"/>
          </rPr>
          <t>Introduzca un número con dos decimales como máximo. Debe ser igual o mayor a la "Cantidad Real Consumida"</t>
        </r>
      </text>
    </comment>
    <comment ref="E1413" authorId="2" shapeId="0">
      <text>
        <r>
          <rPr>
            <sz val="11"/>
            <color theme="1"/>
            <rFont val="Calibri"/>
            <family val="2"/>
            <scheme val="minor"/>
          </rPr>
          <t>Introduzca un número con dos decimales como máximo</t>
        </r>
      </text>
    </comment>
    <comment ref="F1413" authorId="2" shapeId="0">
      <text>
        <r>
          <rPr>
            <sz val="11"/>
            <color theme="1"/>
            <rFont val="Calibri"/>
            <family val="2"/>
            <scheme val="minor"/>
          </rPr>
          <t>Monto calculado automáticamente por el sistema</t>
        </r>
      </text>
    </comment>
    <comment ref="A1418" authorId="1" shapeId="0">
      <text>
        <r>
          <rPr>
            <sz val="11"/>
            <color theme="1"/>
            <rFont val="Calibri"/>
            <family val="2"/>
            <scheme val="minor"/>
          </rPr>
          <t>Introducir un texto con el nombre o referencia de la contratación</t>
        </r>
      </text>
    </comment>
    <comment ref="B1418" authorId="1" shapeId="0">
      <text>
        <r>
          <rPr>
            <sz val="11"/>
            <color theme="1"/>
            <rFont val="Calibri"/>
            <family val="2"/>
            <scheme val="minor"/>
          </rPr>
          <t>Introduzca un texto con la finalidad de la contratación</t>
        </r>
      </text>
    </comment>
    <comment ref="C1418" authorId="1" shapeId="0">
      <text>
        <r>
          <rPr>
            <sz val="11"/>
            <color theme="1"/>
            <rFont val="Calibri"/>
            <family val="2"/>
            <scheme val="minor"/>
          </rPr>
          <t>Seleccionar un valor del listado</t>
        </r>
      </text>
    </comment>
    <comment ref="D1418" authorId="1" shapeId="0">
      <text>
        <r>
          <rPr>
            <sz val="11"/>
            <color theme="1"/>
            <rFont val="Calibri"/>
            <family val="2"/>
            <scheme val="minor"/>
          </rPr>
          <t>Seleccione el tipo de procedimiento</t>
        </r>
      </text>
    </comment>
    <comment ref="E1418" authorId="1" shapeId="0">
      <text>
        <r>
          <rPr>
            <sz val="11"/>
            <color theme="1"/>
            <rFont val="Calibri"/>
            <family val="2"/>
            <scheme val="minor"/>
          </rPr>
          <t>Seleccione un valor de la lista</t>
        </r>
      </text>
    </comment>
    <comment ref="F1418" authorId="2" shapeId="0">
      <text>
        <r>
          <rPr>
            <sz val="11"/>
            <color theme="1"/>
            <rFont val="Calibri"/>
            <family val="2"/>
            <scheme val="minor"/>
          </rPr>
          <t>Introduzca el código SNIP</t>
        </r>
      </text>
    </comment>
    <comment ref="C1419" authorId="2" shapeId="0">
      <text>
        <r>
          <rPr>
            <sz val="11"/>
            <color theme="1"/>
            <rFont val="Calibri"/>
            <family val="2"/>
            <scheme val="minor"/>
          </rPr>
          <t>Introduzca la fecha de inicio del proceso, en formato dd-mm-aaaa</t>
        </r>
      </text>
    </comment>
    <comment ref="F14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2" shapeId="0">
      <text/>
    </comment>
    <comment ref="C1421" authorId="2" shapeId="0">
      <text>
        <r>
          <rPr>
            <sz val="11"/>
            <color theme="1"/>
            <rFont val="Calibri"/>
            <family val="2"/>
            <scheme val="minor"/>
          </rPr>
          <t>Introduzca la fecha prevista de adjudicación, en formato dd-mm-aaaa</t>
        </r>
      </text>
    </comment>
    <comment ref="F1421" authorId="2" shapeId="0">
      <text/>
    </comment>
    <comment ref="F1422" authorId="2" shapeId="0">
      <text/>
    </comment>
    <comment ref="A1424" authorId="2" shapeId="0">
      <text>
        <r>
          <rPr>
            <sz val="11"/>
            <color theme="1"/>
            <rFont val="Calibri"/>
            <family val="2"/>
            <scheme val="minor"/>
          </rPr>
          <t>Introduzca un codigo UNSPSC</t>
        </r>
      </text>
    </comment>
    <comment ref="B1424" authorId="2" shapeId="0">
      <text>
        <r>
          <rPr>
            <sz val="11"/>
            <color theme="1"/>
            <rFont val="Calibri"/>
            <family val="2"/>
            <scheme val="minor"/>
          </rPr>
          <t>Descripción calculada automáticamente a partir de código del artículo</t>
        </r>
      </text>
    </comment>
    <comment ref="C1424" authorId="2" shapeId="0">
      <text>
        <r>
          <rPr>
            <sz val="11"/>
            <color theme="1"/>
            <rFont val="Calibri"/>
            <family val="2"/>
            <scheme val="minor"/>
          </rPr>
          <t>Seleccione un valor de la lista</t>
        </r>
      </text>
    </comment>
    <comment ref="D1424" authorId="2" shapeId="0">
      <text>
        <r>
          <rPr>
            <sz val="11"/>
            <color theme="1"/>
            <rFont val="Calibri"/>
            <family val="2"/>
            <scheme val="minor"/>
          </rPr>
          <t>Introduzca un número con dos decimales como máximo. Debe ser igual o mayor a la "Cantidad Real Consumida"</t>
        </r>
      </text>
    </comment>
    <comment ref="E1424" authorId="2" shapeId="0">
      <text>
        <r>
          <rPr>
            <sz val="11"/>
            <color theme="1"/>
            <rFont val="Calibri"/>
            <family val="2"/>
            <scheme val="minor"/>
          </rPr>
          <t>Introduzca un número con dos decimales como máximo</t>
        </r>
      </text>
    </comment>
    <comment ref="F1424" authorId="2" shapeId="0">
      <text>
        <r>
          <rPr>
            <sz val="11"/>
            <color theme="1"/>
            <rFont val="Calibri"/>
            <family val="2"/>
            <scheme val="minor"/>
          </rPr>
          <t>Monto calculado automáticamente por el sistema</t>
        </r>
      </text>
    </comment>
    <comment ref="A1429" authorId="1" shapeId="0">
      <text>
        <r>
          <rPr>
            <sz val="11"/>
            <color theme="1"/>
            <rFont val="Calibri"/>
            <family val="2"/>
            <scheme val="minor"/>
          </rPr>
          <t>Introducir un texto con el nombre o referencia de la contratación</t>
        </r>
      </text>
    </comment>
    <comment ref="B1429" authorId="1" shapeId="0">
      <text>
        <r>
          <rPr>
            <sz val="11"/>
            <color theme="1"/>
            <rFont val="Calibri"/>
            <family val="2"/>
            <scheme val="minor"/>
          </rPr>
          <t>Introduzca un texto con la finalidad de la contratación</t>
        </r>
      </text>
    </comment>
    <comment ref="C1429" authorId="1" shapeId="0">
      <text>
        <r>
          <rPr>
            <sz val="11"/>
            <color theme="1"/>
            <rFont val="Calibri"/>
            <family val="2"/>
            <scheme val="minor"/>
          </rPr>
          <t>Seleccionar un valor del listado</t>
        </r>
      </text>
    </comment>
    <comment ref="D1429" authorId="1" shapeId="0">
      <text>
        <r>
          <rPr>
            <sz val="11"/>
            <color theme="1"/>
            <rFont val="Calibri"/>
            <family val="2"/>
            <scheme val="minor"/>
          </rPr>
          <t>Seleccione el tipo de procedimiento</t>
        </r>
      </text>
    </comment>
    <comment ref="E1429" authorId="1" shapeId="0">
      <text>
        <r>
          <rPr>
            <sz val="11"/>
            <color theme="1"/>
            <rFont val="Calibri"/>
            <family val="2"/>
            <scheme val="minor"/>
          </rPr>
          <t>Seleccione un valor de la lista</t>
        </r>
      </text>
    </comment>
    <comment ref="F1429" authorId="2" shapeId="0">
      <text>
        <r>
          <rPr>
            <sz val="11"/>
            <color theme="1"/>
            <rFont val="Calibri"/>
            <family val="2"/>
            <scheme val="minor"/>
          </rPr>
          <t>Introduzca el código SNIP</t>
        </r>
      </text>
    </comment>
    <comment ref="C1430" authorId="2" shapeId="0">
      <text>
        <r>
          <rPr>
            <sz val="11"/>
            <color theme="1"/>
            <rFont val="Calibri"/>
            <family val="2"/>
            <scheme val="minor"/>
          </rPr>
          <t>Introduzca la fecha de inicio del proceso, en formato dd-mm-aaaa</t>
        </r>
      </text>
    </comment>
    <comment ref="F14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2" shapeId="0">
      <text/>
    </comment>
    <comment ref="C1432" authorId="2" shapeId="0">
      <text>
        <r>
          <rPr>
            <sz val="11"/>
            <color theme="1"/>
            <rFont val="Calibri"/>
            <family val="2"/>
            <scheme val="minor"/>
          </rPr>
          <t>Introduzca la fecha prevista de adjudicación, en formato dd-mm-aaaa</t>
        </r>
      </text>
    </comment>
    <comment ref="F1432" authorId="2" shapeId="0">
      <text/>
    </comment>
    <comment ref="F1433" authorId="2" shapeId="0">
      <text/>
    </comment>
    <comment ref="A1435" authorId="2" shapeId="0">
      <text>
        <r>
          <rPr>
            <sz val="11"/>
            <color theme="1"/>
            <rFont val="Calibri"/>
            <family val="2"/>
            <scheme val="minor"/>
          </rPr>
          <t>Introduzca un codigo UNSPSC</t>
        </r>
      </text>
    </comment>
    <comment ref="B1435" authorId="2" shapeId="0">
      <text>
        <r>
          <rPr>
            <sz val="11"/>
            <color theme="1"/>
            <rFont val="Calibri"/>
            <family val="2"/>
            <scheme val="minor"/>
          </rPr>
          <t>Descripción calculada automáticamente a partir de código del artículo</t>
        </r>
      </text>
    </comment>
    <comment ref="C1435" authorId="2" shapeId="0">
      <text>
        <r>
          <rPr>
            <sz val="11"/>
            <color theme="1"/>
            <rFont val="Calibri"/>
            <family val="2"/>
            <scheme val="minor"/>
          </rPr>
          <t>Seleccione un valor de la lista</t>
        </r>
      </text>
    </comment>
    <comment ref="D1435" authorId="2" shapeId="0">
      <text>
        <r>
          <rPr>
            <sz val="11"/>
            <color theme="1"/>
            <rFont val="Calibri"/>
            <family val="2"/>
            <scheme val="minor"/>
          </rPr>
          <t>Introduzca un número con dos decimales como máximo. Debe ser igual o mayor a la "Cantidad Real Consumida"</t>
        </r>
      </text>
    </comment>
    <comment ref="E1435" authorId="2" shapeId="0">
      <text>
        <r>
          <rPr>
            <sz val="11"/>
            <color theme="1"/>
            <rFont val="Calibri"/>
            <family val="2"/>
            <scheme val="minor"/>
          </rPr>
          <t>Introduzca un número con dos decimales como máximo</t>
        </r>
      </text>
    </comment>
    <comment ref="F1435" authorId="2" shapeId="0">
      <text>
        <r>
          <rPr>
            <sz val="11"/>
            <color theme="1"/>
            <rFont val="Calibri"/>
            <family val="2"/>
            <scheme val="minor"/>
          </rPr>
          <t>Monto calculado automáticamente por el sistema</t>
        </r>
      </text>
    </comment>
    <comment ref="A1440" authorId="2" shapeId="0">
      <text>
        <r>
          <rPr>
            <sz val="11"/>
            <color theme="1"/>
            <rFont val="Calibri"/>
            <family val="2"/>
            <scheme val="minor"/>
          </rPr>
          <t>Introducir un texto con el nombre o referencia de la contratación</t>
        </r>
      </text>
    </comment>
    <comment ref="B1440" authorId="2" shapeId="0">
      <text>
        <r>
          <rPr>
            <sz val="11"/>
            <color theme="1"/>
            <rFont val="Calibri"/>
            <family val="2"/>
            <scheme val="minor"/>
          </rPr>
          <t>Introduzca un texto con la finalidad de la contratación</t>
        </r>
      </text>
    </comment>
    <comment ref="C1440" authorId="2" shapeId="0">
      <text>
        <r>
          <rPr>
            <sz val="11"/>
            <color theme="1"/>
            <rFont val="Calibri"/>
            <family val="2"/>
            <scheme val="minor"/>
          </rPr>
          <t>Seleccionar un valor del listado</t>
        </r>
      </text>
    </comment>
    <comment ref="D1440" authorId="2" shapeId="0">
      <text>
        <r>
          <rPr>
            <sz val="11"/>
            <color theme="1"/>
            <rFont val="Calibri"/>
            <family val="2"/>
            <scheme val="minor"/>
          </rPr>
          <t>Seleccione el tipo de procedimiento</t>
        </r>
      </text>
    </comment>
    <comment ref="E1440" authorId="2" shapeId="0">
      <text>
        <r>
          <rPr>
            <sz val="11"/>
            <color theme="1"/>
            <rFont val="Calibri"/>
            <family val="2"/>
            <scheme val="minor"/>
          </rPr>
          <t>Seleccione un valor de la lista</t>
        </r>
      </text>
    </comment>
    <comment ref="F1440" authorId="2" shapeId="0">
      <text>
        <r>
          <rPr>
            <sz val="11"/>
            <color theme="1"/>
            <rFont val="Calibri"/>
            <family val="2"/>
            <scheme val="minor"/>
          </rPr>
          <t>Introduzca el código SNIP</t>
        </r>
      </text>
    </comment>
    <comment ref="C1441" authorId="2" shapeId="0">
      <text>
        <r>
          <rPr>
            <sz val="11"/>
            <color theme="1"/>
            <rFont val="Calibri"/>
            <family val="2"/>
            <scheme val="minor"/>
          </rPr>
          <t>Introduzca la fecha de inicio del proceso, en formato dd-mm-aaaa</t>
        </r>
      </text>
    </comment>
    <comment ref="F14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2" shapeId="0">
      <text/>
    </comment>
    <comment ref="C1443" authorId="2" shapeId="0">
      <text>
        <r>
          <rPr>
            <sz val="11"/>
            <color theme="1"/>
            <rFont val="Calibri"/>
            <family val="2"/>
            <scheme val="minor"/>
          </rPr>
          <t>Introduzca la fecha prevista de adjudicación, en formato dd-mm-aaaa</t>
        </r>
      </text>
    </comment>
    <comment ref="F1443" authorId="2" shapeId="0">
      <text/>
    </comment>
    <comment ref="F1444" authorId="2" shapeId="0">
      <text/>
    </comment>
    <comment ref="A1446" authorId="2" shapeId="0">
      <text>
        <r>
          <rPr>
            <sz val="11"/>
            <color theme="1"/>
            <rFont val="Calibri"/>
            <family val="2"/>
            <scheme val="minor"/>
          </rPr>
          <t>Introduzca un codigo UNSPSC</t>
        </r>
      </text>
    </comment>
    <comment ref="B1446" authorId="2" shapeId="0">
      <text>
        <r>
          <rPr>
            <sz val="11"/>
            <color theme="1"/>
            <rFont val="Calibri"/>
            <family val="2"/>
            <scheme val="minor"/>
          </rPr>
          <t>Descripción calculada automáticamente a partir de código del artículo</t>
        </r>
      </text>
    </comment>
    <comment ref="C1446" authorId="2" shapeId="0">
      <text>
        <r>
          <rPr>
            <sz val="11"/>
            <color theme="1"/>
            <rFont val="Calibri"/>
            <family val="2"/>
            <scheme val="minor"/>
          </rPr>
          <t>Seleccione un valor de la lista</t>
        </r>
      </text>
    </comment>
    <comment ref="D1446" authorId="2" shapeId="0">
      <text>
        <r>
          <rPr>
            <sz val="11"/>
            <color theme="1"/>
            <rFont val="Calibri"/>
            <family val="2"/>
            <scheme val="minor"/>
          </rPr>
          <t>Introduzca un número con dos decimales como máximo. Debe ser igual o mayor a la "Cantidad Real Consumida"</t>
        </r>
      </text>
    </comment>
    <comment ref="E1446" authorId="2" shapeId="0">
      <text>
        <r>
          <rPr>
            <sz val="11"/>
            <color theme="1"/>
            <rFont val="Calibri"/>
            <family val="2"/>
            <scheme val="minor"/>
          </rPr>
          <t>Introduzca un número con dos decimales como máximo</t>
        </r>
      </text>
    </comment>
    <comment ref="F1446" authorId="2" shapeId="0">
      <text>
        <r>
          <rPr>
            <sz val="11"/>
            <color theme="1"/>
            <rFont val="Calibri"/>
            <family val="2"/>
            <scheme val="minor"/>
          </rPr>
          <t>Monto calculado automáticamente por el sistema</t>
        </r>
      </text>
    </comment>
    <comment ref="A1451" authorId="1" shapeId="0">
      <text>
        <r>
          <rPr>
            <sz val="11"/>
            <color theme="1"/>
            <rFont val="Calibri"/>
            <family val="2"/>
            <scheme val="minor"/>
          </rPr>
          <t>Introducir un texto con el nombre o referencia de la contratación</t>
        </r>
      </text>
    </comment>
    <comment ref="B1451" authorId="1" shapeId="0">
      <text>
        <r>
          <rPr>
            <sz val="11"/>
            <color theme="1"/>
            <rFont val="Calibri"/>
            <family val="2"/>
            <scheme val="minor"/>
          </rPr>
          <t>Introduzca un texto con la finalidad de la contratación</t>
        </r>
      </text>
    </comment>
    <comment ref="C1451" authorId="1" shapeId="0">
      <text>
        <r>
          <rPr>
            <sz val="11"/>
            <color theme="1"/>
            <rFont val="Calibri"/>
            <family val="2"/>
            <scheme val="minor"/>
          </rPr>
          <t>Seleccionar un valor del listado</t>
        </r>
      </text>
    </comment>
    <comment ref="D1451" authorId="1" shapeId="0">
      <text>
        <r>
          <rPr>
            <sz val="11"/>
            <color theme="1"/>
            <rFont val="Calibri"/>
            <family val="2"/>
            <scheme val="minor"/>
          </rPr>
          <t>Seleccione el tipo de procedimiento</t>
        </r>
      </text>
    </comment>
    <comment ref="E1451" authorId="1" shapeId="0">
      <text>
        <r>
          <rPr>
            <sz val="11"/>
            <color theme="1"/>
            <rFont val="Calibri"/>
            <family val="2"/>
            <scheme val="minor"/>
          </rPr>
          <t>Seleccione un valor de la lista</t>
        </r>
      </text>
    </comment>
    <comment ref="F1451" authorId="2" shapeId="0">
      <text>
        <r>
          <rPr>
            <sz val="11"/>
            <color theme="1"/>
            <rFont val="Calibri"/>
            <family val="2"/>
            <scheme val="minor"/>
          </rPr>
          <t>Introduzca el código SNIP</t>
        </r>
      </text>
    </comment>
    <comment ref="C1452" authorId="2" shapeId="0">
      <text>
        <r>
          <rPr>
            <sz val="11"/>
            <color theme="1"/>
            <rFont val="Calibri"/>
            <family val="2"/>
            <scheme val="minor"/>
          </rPr>
          <t>Introduzca la fecha de inicio del proceso, en formato dd-mm-aaaa</t>
        </r>
      </text>
    </comment>
    <comment ref="F14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2" shapeId="0">
      <text/>
    </comment>
    <comment ref="C1454" authorId="2" shapeId="0">
      <text>
        <r>
          <rPr>
            <sz val="11"/>
            <color theme="1"/>
            <rFont val="Calibri"/>
            <family val="2"/>
            <scheme val="minor"/>
          </rPr>
          <t>Introduzca la fecha prevista de adjudicación, en formato dd-mm-aaaa</t>
        </r>
      </text>
    </comment>
    <comment ref="F1454" authorId="2" shapeId="0">
      <text/>
    </comment>
    <comment ref="F1455" authorId="2" shapeId="0">
      <text/>
    </comment>
    <comment ref="A1457" authorId="2" shapeId="0">
      <text>
        <r>
          <rPr>
            <sz val="11"/>
            <color theme="1"/>
            <rFont val="Calibri"/>
            <family val="2"/>
            <scheme val="minor"/>
          </rPr>
          <t>Introduzca un codigo UNSPSC</t>
        </r>
      </text>
    </comment>
    <comment ref="B1457" authorId="2" shapeId="0">
      <text>
        <r>
          <rPr>
            <sz val="11"/>
            <color theme="1"/>
            <rFont val="Calibri"/>
            <family val="2"/>
            <scheme val="minor"/>
          </rPr>
          <t>Descripción calculada automáticamente a partir de código del artículo</t>
        </r>
      </text>
    </comment>
    <comment ref="C1457" authorId="2" shapeId="0">
      <text>
        <r>
          <rPr>
            <sz val="11"/>
            <color theme="1"/>
            <rFont val="Calibri"/>
            <family val="2"/>
            <scheme val="minor"/>
          </rPr>
          <t>Seleccione un valor de la lista</t>
        </r>
      </text>
    </comment>
    <comment ref="D1457" authorId="2" shapeId="0">
      <text>
        <r>
          <rPr>
            <sz val="11"/>
            <color theme="1"/>
            <rFont val="Calibri"/>
            <family val="2"/>
            <scheme val="minor"/>
          </rPr>
          <t>Introduzca un número con dos decimales como máximo. Debe ser igual o mayor a la "Cantidad Real Consumida"</t>
        </r>
      </text>
    </comment>
    <comment ref="E1457" authorId="2" shapeId="0">
      <text>
        <r>
          <rPr>
            <sz val="11"/>
            <color theme="1"/>
            <rFont val="Calibri"/>
            <family val="2"/>
            <scheme val="minor"/>
          </rPr>
          <t>Introduzca un número con dos decimales como máximo</t>
        </r>
      </text>
    </comment>
    <comment ref="F1457" authorId="2" shapeId="0">
      <text>
        <r>
          <rPr>
            <sz val="11"/>
            <color theme="1"/>
            <rFont val="Calibri"/>
            <family val="2"/>
            <scheme val="minor"/>
          </rPr>
          <t>Monto calculado automáticamente por el sistema</t>
        </r>
      </text>
    </comment>
    <comment ref="A1464" authorId="1" shapeId="0">
      <text>
        <r>
          <rPr>
            <sz val="11"/>
            <color theme="1"/>
            <rFont val="Calibri"/>
            <family val="2"/>
            <scheme val="minor"/>
          </rPr>
          <t>Introducir un texto con el nombre o referencia de la contratación</t>
        </r>
      </text>
    </comment>
    <comment ref="B1464" authorId="1" shapeId="0">
      <text>
        <r>
          <rPr>
            <sz val="11"/>
            <color theme="1"/>
            <rFont val="Calibri"/>
            <family val="2"/>
            <scheme val="minor"/>
          </rPr>
          <t>Introduzca un texto con la finalidad de la contratación</t>
        </r>
      </text>
    </comment>
    <comment ref="C1464" authorId="1" shapeId="0">
      <text>
        <r>
          <rPr>
            <sz val="11"/>
            <color theme="1"/>
            <rFont val="Calibri"/>
            <family val="2"/>
            <scheme val="minor"/>
          </rPr>
          <t>Seleccionar un valor del listado</t>
        </r>
      </text>
    </comment>
    <comment ref="D1464" authorId="1" shapeId="0">
      <text>
        <r>
          <rPr>
            <sz val="11"/>
            <color theme="1"/>
            <rFont val="Calibri"/>
            <family val="2"/>
            <scheme val="minor"/>
          </rPr>
          <t>Seleccione el tipo de procedimiento</t>
        </r>
      </text>
    </comment>
    <comment ref="E1464" authorId="1" shapeId="0">
      <text>
        <r>
          <rPr>
            <sz val="11"/>
            <color theme="1"/>
            <rFont val="Calibri"/>
            <family val="2"/>
            <scheme val="minor"/>
          </rPr>
          <t>Seleccione un valor de la lista</t>
        </r>
      </text>
    </comment>
    <comment ref="F1464" authorId="2" shapeId="0">
      <text>
        <r>
          <rPr>
            <sz val="11"/>
            <color theme="1"/>
            <rFont val="Calibri"/>
            <family val="2"/>
            <scheme val="minor"/>
          </rPr>
          <t>Introduzca el código SNIP</t>
        </r>
      </text>
    </comment>
    <comment ref="C1465" authorId="2" shapeId="0">
      <text>
        <r>
          <rPr>
            <sz val="11"/>
            <color theme="1"/>
            <rFont val="Calibri"/>
            <family val="2"/>
            <scheme val="minor"/>
          </rPr>
          <t>Introduzca la fecha de inicio del proceso, en formato dd-mm-aaaa</t>
        </r>
      </text>
    </comment>
    <comment ref="F14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2" shapeId="0">
      <text/>
    </comment>
    <comment ref="C1467" authorId="2" shapeId="0">
      <text>
        <r>
          <rPr>
            <sz val="11"/>
            <color theme="1"/>
            <rFont val="Calibri"/>
            <family val="2"/>
            <scheme val="minor"/>
          </rPr>
          <t>Introduzca la fecha prevista de adjudicación, en formato dd-mm-aaaa</t>
        </r>
      </text>
    </comment>
    <comment ref="F1467" authorId="2" shapeId="0">
      <text/>
    </comment>
    <comment ref="F1468" authorId="2" shapeId="0">
      <text/>
    </comment>
    <comment ref="A1470" authorId="2" shapeId="0">
      <text>
        <r>
          <rPr>
            <sz val="11"/>
            <color theme="1"/>
            <rFont val="Calibri"/>
            <family val="2"/>
            <scheme val="minor"/>
          </rPr>
          <t>Introduzca un codigo UNSPSC</t>
        </r>
      </text>
    </comment>
    <comment ref="B1470" authorId="2" shapeId="0">
      <text>
        <r>
          <rPr>
            <sz val="11"/>
            <color theme="1"/>
            <rFont val="Calibri"/>
            <family val="2"/>
            <scheme val="minor"/>
          </rPr>
          <t>Descripción calculada automáticamente a partir de código del artículo</t>
        </r>
      </text>
    </comment>
    <comment ref="C1470" authorId="2" shapeId="0">
      <text>
        <r>
          <rPr>
            <sz val="11"/>
            <color theme="1"/>
            <rFont val="Calibri"/>
            <family val="2"/>
            <scheme val="minor"/>
          </rPr>
          <t>Seleccione un valor de la lista</t>
        </r>
      </text>
    </comment>
    <comment ref="D1470" authorId="2" shapeId="0">
      <text>
        <r>
          <rPr>
            <sz val="11"/>
            <color theme="1"/>
            <rFont val="Calibri"/>
            <family val="2"/>
            <scheme val="minor"/>
          </rPr>
          <t>Introduzca un número con dos decimales como máximo. Debe ser igual o mayor a la "Cantidad Real Consumida"</t>
        </r>
      </text>
    </comment>
    <comment ref="E1470" authorId="2" shapeId="0">
      <text>
        <r>
          <rPr>
            <sz val="11"/>
            <color theme="1"/>
            <rFont val="Calibri"/>
            <family val="2"/>
            <scheme val="minor"/>
          </rPr>
          <t>Introduzca un número con dos decimales como máximo</t>
        </r>
      </text>
    </comment>
    <comment ref="F1470" authorId="2" shapeId="0">
      <text>
        <r>
          <rPr>
            <sz val="11"/>
            <color theme="1"/>
            <rFont val="Calibri"/>
            <family val="2"/>
            <scheme val="minor"/>
          </rPr>
          <t>Monto calculado automáticamente por el sistema</t>
        </r>
      </text>
    </comment>
    <comment ref="A1476" authorId="1" shapeId="0">
      <text>
        <r>
          <rPr>
            <sz val="11"/>
            <color theme="1"/>
            <rFont val="Calibri"/>
            <family val="2"/>
            <scheme val="minor"/>
          </rPr>
          <t>Introducir un texto con el nombre o referencia de la contratación</t>
        </r>
      </text>
    </comment>
    <comment ref="B1476" authorId="1" shapeId="0">
      <text>
        <r>
          <rPr>
            <sz val="11"/>
            <color theme="1"/>
            <rFont val="Calibri"/>
            <family val="2"/>
            <scheme val="minor"/>
          </rPr>
          <t>Introduzca un texto con la finalidad de la contratación</t>
        </r>
      </text>
    </comment>
    <comment ref="C1476" authorId="1" shapeId="0">
      <text>
        <r>
          <rPr>
            <sz val="11"/>
            <color theme="1"/>
            <rFont val="Calibri"/>
            <family val="2"/>
            <scheme val="minor"/>
          </rPr>
          <t>Seleccionar un valor del listado</t>
        </r>
      </text>
    </comment>
    <comment ref="D1476" authorId="1" shapeId="0">
      <text>
        <r>
          <rPr>
            <sz val="11"/>
            <color theme="1"/>
            <rFont val="Calibri"/>
            <family val="2"/>
            <scheme val="minor"/>
          </rPr>
          <t>Seleccione el tipo de procedimiento</t>
        </r>
      </text>
    </comment>
    <comment ref="E1476" authorId="1" shapeId="0">
      <text>
        <r>
          <rPr>
            <sz val="11"/>
            <color theme="1"/>
            <rFont val="Calibri"/>
            <family val="2"/>
            <scheme val="minor"/>
          </rPr>
          <t>Seleccione un valor de la lista</t>
        </r>
      </text>
    </comment>
    <comment ref="F1476" authorId="2" shapeId="0">
      <text>
        <r>
          <rPr>
            <sz val="11"/>
            <color theme="1"/>
            <rFont val="Calibri"/>
            <family val="2"/>
            <scheme val="minor"/>
          </rPr>
          <t>Introduzca el código SNIP</t>
        </r>
      </text>
    </comment>
    <comment ref="C1477" authorId="2" shapeId="0">
      <text>
        <r>
          <rPr>
            <sz val="11"/>
            <color theme="1"/>
            <rFont val="Calibri"/>
            <family val="2"/>
            <scheme val="minor"/>
          </rPr>
          <t>Introduzca la fecha de inicio del proceso, en formato dd-mm-aaaa</t>
        </r>
      </text>
    </comment>
    <comment ref="F14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2" shapeId="0">
      <text/>
    </comment>
    <comment ref="C1479" authorId="2" shapeId="0">
      <text>
        <r>
          <rPr>
            <sz val="11"/>
            <color theme="1"/>
            <rFont val="Calibri"/>
            <family val="2"/>
            <scheme val="minor"/>
          </rPr>
          <t>Introduzca la fecha prevista de adjudicación, en formato dd-mm-aaaa</t>
        </r>
      </text>
    </comment>
    <comment ref="F1479" authorId="2" shapeId="0">
      <text/>
    </comment>
    <comment ref="F1480" authorId="2" shapeId="0">
      <text/>
    </comment>
    <comment ref="A1482" authorId="2" shapeId="0">
      <text>
        <r>
          <rPr>
            <sz val="11"/>
            <color theme="1"/>
            <rFont val="Calibri"/>
            <family val="2"/>
            <scheme val="minor"/>
          </rPr>
          <t>Introduzca un codigo UNSPSC</t>
        </r>
      </text>
    </comment>
    <comment ref="B1482" authorId="2" shapeId="0">
      <text>
        <r>
          <rPr>
            <sz val="11"/>
            <color theme="1"/>
            <rFont val="Calibri"/>
            <family val="2"/>
            <scheme val="minor"/>
          </rPr>
          <t>Descripción calculada automáticamente a partir de código del artículo</t>
        </r>
      </text>
    </comment>
    <comment ref="C1482" authorId="2" shapeId="0">
      <text>
        <r>
          <rPr>
            <sz val="11"/>
            <color theme="1"/>
            <rFont val="Calibri"/>
            <family val="2"/>
            <scheme val="minor"/>
          </rPr>
          <t>Seleccione un valor de la lista</t>
        </r>
      </text>
    </comment>
    <comment ref="D1482" authorId="2" shapeId="0">
      <text>
        <r>
          <rPr>
            <sz val="11"/>
            <color theme="1"/>
            <rFont val="Calibri"/>
            <family val="2"/>
            <scheme val="minor"/>
          </rPr>
          <t>Introduzca un número con dos decimales como máximo. Debe ser igual o mayor a la "Cantidad Real Consumida"</t>
        </r>
      </text>
    </comment>
    <comment ref="E1482" authorId="2" shapeId="0">
      <text>
        <r>
          <rPr>
            <sz val="11"/>
            <color theme="1"/>
            <rFont val="Calibri"/>
            <family val="2"/>
            <scheme val="minor"/>
          </rPr>
          <t>Introduzca un número con dos decimales como máximo</t>
        </r>
      </text>
    </comment>
    <comment ref="F1482" authorId="2" shapeId="0">
      <text>
        <r>
          <rPr>
            <sz val="11"/>
            <color theme="1"/>
            <rFont val="Calibri"/>
            <family val="2"/>
            <scheme val="minor"/>
          </rPr>
          <t>Monto calculado automáticamente por el sistema</t>
        </r>
      </text>
    </comment>
    <comment ref="A1487" authorId="1" shapeId="0">
      <text>
        <r>
          <rPr>
            <sz val="11"/>
            <color theme="1"/>
            <rFont val="Calibri"/>
            <family val="2"/>
            <scheme val="minor"/>
          </rPr>
          <t>Introducir un texto con el nombre o referencia de la contratación</t>
        </r>
      </text>
    </comment>
    <comment ref="B1487" authorId="1" shapeId="0">
      <text>
        <r>
          <rPr>
            <sz val="11"/>
            <color theme="1"/>
            <rFont val="Calibri"/>
            <family val="2"/>
            <scheme val="minor"/>
          </rPr>
          <t>Introduzca un texto con la finalidad de la contratación</t>
        </r>
      </text>
    </comment>
    <comment ref="C1487" authorId="1" shapeId="0">
      <text>
        <r>
          <rPr>
            <sz val="11"/>
            <color theme="1"/>
            <rFont val="Calibri"/>
            <family val="2"/>
            <scheme val="minor"/>
          </rPr>
          <t>Seleccionar un valor del listado</t>
        </r>
      </text>
    </comment>
    <comment ref="D1487" authorId="1" shapeId="0">
      <text>
        <r>
          <rPr>
            <sz val="11"/>
            <color theme="1"/>
            <rFont val="Calibri"/>
            <family val="2"/>
            <scheme val="minor"/>
          </rPr>
          <t>Seleccione el tipo de procedimiento</t>
        </r>
      </text>
    </comment>
    <comment ref="E1487" authorId="1" shapeId="0">
      <text>
        <r>
          <rPr>
            <sz val="11"/>
            <color theme="1"/>
            <rFont val="Calibri"/>
            <family val="2"/>
            <scheme val="minor"/>
          </rPr>
          <t>Seleccione un valor de la lista</t>
        </r>
      </text>
    </comment>
    <comment ref="F1487" authorId="2" shapeId="0">
      <text>
        <r>
          <rPr>
            <sz val="11"/>
            <color theme="1"/>
            <rFont val="Calibri"/>
            <family val="2"/>
            <scheme val="minor"/>
          </rPr>
          <t>Introduzca el código SNIP</t>
        </r>
      </text>
    </comment>
    <comment ref="C1488" authorId="2" shapeId="0">
      <text>
        <r>
          <rPr>
            <sz val="11"/>
            <color theme="1"/>
            <rFont val="Calibri"/>
            <family val="2"/>
            <scheme val="minor"/>
          </rPr>
          <t>Introduzca la fecha de inicio del proceso, en formato dd-mm-aaaa</t>
        </r>
      </text>
    </comment>
    <comment ref="F14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shapeId="0">
      <text/>
    </comment>
    <comment ref="C1490" authorId="2" shapeId="0">
      <text>
        <r>
          <rPr>
            <sz val="11"/>
            <color theme="1"/>
            <rFont val="Calibri"/>
            <family val="2"/>
            <scheme val="minor"/>
          </rPr>
          <t>Introduzca la fecha prevista de adjudicación, en formato dd-mm-aaaa</t>
        </r>
      </text>
    </comment>
    <comment ref="F1490" authorId="2" shapeId="0">
      <text/>
    </comment>
    <comment ref="F1491" authorId="2" shapeId="0">
      <text/>
    </comment>
    <comment ref="A1493" authorId="2" shapeId="0">
      <text>
        <r>
          <rPr>
            <sz val="11"/>
            <color theme="1"/>
            <rFont val="Calibri"/>
            <family val="2"/>
            <scheme val="minor"/>
          </rPr>
          <t>Introduzca un codigo UNSPSC</t>
        </r>
      </text>
    </comment>
    <comment ref="B1493" authorId="2" shapeId="0">
      <text>
        <r>
          <rPr>
            <sz val="11"/>
            <color theme="1"/>
            <rFont val="Calibri"/>
            <family val="2"/>
            <scheme val="minor"/>
          </rPr>
          <t>Descripción calculada automáticamente a partir de código del artículo</t>
        </r>
      </text>
    </comment>
    <comment ref="C1493" authorId="2" shapeId="0">
      <text>
        <r>
          <rPr>
            <sz val="11"/>
            <color theme="1"/>
            <rFont val="Calibri"/>
            <family val="2"/>
            <scheme val="minor"/>
          </rPr>
          <t>Seleccione un valor de la lista</t>
        </r>
      </text>
    </comment>
    <comment ref="D1493" authorId="2" shapeId="0">
      <text>
        <r>
          <rPr>
            <sz val="11"/>
            <color theme="1"/>
            <rFont val="Calibri"/>
            <family val="2"/>
            <scheme val="minor"/>
          </rPr>
          <t>Introduzca un número con dos decimales como máximo. Debe ser igual o mayor a la "Cantidad Real Consumida"</t>
        </r>
      </text>
    </comment>
    <comment ref="E1493" authorId="2" shapeId="0">
      <text>
        <r>
          <rPr>
            <sz val="11"/>
            <color theme="1"/>
            <rFont val="Calibri"/>
            <family val="2"/>
            <scheme val="minor"/>
          </rPr>
          <t>Introduzca un número con dos decimales como máximo</t>
        </r>
      </text>
    </comment>
    <comment ref="F1493" authorId="2" shapeId="0">
      <text>
        <r>
          <rPr>
            <sz val="11"/>
            <color theme="1"/>
            <rFont val="Calibri"/>
            <family val="2"/>
            <scheme val="minor"/>
          </rPr>
          <t>Monto calculado automáticamente por el sistema</t>
        </r>
      </text>
    </comment>
    <comment ref="A1501" authorId="1" shapeId="0">
      <text>
        <r>
          <rPr>
            <sz val="11"/>
            <color theme="1"/>
            <rFont val="Calibri"/>
            <family val="2"/>
            <scheme val="minor"/>
          </rPr>
          <t>Introducir un texto con el nombre o referencia de la contratación</t>
        </r>
      </text>
    </comment>
    <comment ref="B1501" authorId="1" shapeId="0">
      <text>
        <r>
          <rPr>
            <sz val="11"/>
            <color theme="1"/>
            <rFont val="Calibri"/>
            <family val="2"/>
            <scheme val="minor"/>
          </rPr>
          <t>Introduzca un texto con la finalidad de la contratación</t>
        </r>
      </text>
    </comment>
    <comment ref="C1501" authorId="1" shapeId="0">
      <text>
        <r>
          <rPr>
            <sz val="11"/>
            <color theme="1"/>
            <rFont val="Calibri"/>
            <family val="2"/>
            <scheme val="minor"/>
          </rPr>
          <t>Seleccionar un valor del listado</t>
        </r>
      </text>
    </comment>
    <comment ref="D1501" authorId="1" shapeId="0">
      <text>
        <r>
          <rPr>
            <sz val="11"/>
            <color theme="1"/>
            <rFont val="Calibri"/>
            <family val="2"/>
            <scheme val="minor"/>
          </rPr>
          <t>Seleccione el tipo de procedimiento</t>
        </r>
      </text>
    </comment>
    <comment ref="E1501" authorId="1" shapeId="0">
      <text>
        <r>
          <rPr>
            <sz val="11"/>
            <color theme="1"/>
            <rFont val="Calibri"/>
            <family val="2"/>
            <scheme val="minor"/>
          </rPr>
          <t>Seleccione un valor de la lista</t>
        </r>
      </text>
    </comment>
    <comment ref="F1501" authorId="2" shapeId="0">
      <text>
        <r>
          <rPr>
            <sz val="11"/>
            <color theme="1"/>
            <rFont val="Calibri"/>
            <family val="2"/>
            <scheme val="minor"/>
          </rPr>
          <t>Introduzca el código SNIP</t>
        </r>
      </text>
    </comment>
    <comment ref="C1502" authorId="2" shapeId="0">
      <text>
        <r>
          <rPr>
            <sz val="11"/>
            <color theme="1"/>
            <rFont val="Calibri"/>
            <family val="2"/>
            <scheme val="minor"/>
          </rPr>
          <t>Introduzca la fecha de inicio del proceso, en formato dd-mm-aaaa</t>
        </r>
      </text>
    </comment>
    <comment ref="F15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2" shapeId="0">
      <text/>
    </comment>
    <comment ref="C1504" authorId="2" shapeId="0">
      <text>
        <r>
          <rPr>
            <sz val="11"/>
            <color theme="1"/>
            <rFont val="Calibri"/>
            <family val="2"/>
            <scheme val="minor"/>
          </rPr>
          <t>Introduzca la fecha prevista de adjudicación, en formato dd-mm-aaaa</t>
        </r>
      </text>
    </comment>
    <comment ref="F1504" authorId="2" shapeId="0">
      <text/>
    </comment>
    <comment ref="F1505" authorId="2" shapeId="0">
      <text/>
    </comment>
    <comment ref="A1507" authorId="2" shapeId="0">
      <text>
        <r>
          <rPr>
            <sz val="11"/>
            <color theme="1"/>
            <rFont val="Calibri"/>
            <family val="2"/>
            <scheme val="minor"/>
          </rPr>
          <t>Introduzca un codigo UNSPSC</t>
        </r>
      </text>
    </comment>
    <comment ref="B1507" authorId="2" shapeId="0">
      <text>
        <r>
          <rPr>
            <sz val="11"/>
            <color theme="1"/>
            <rFont val="Calibri"/>
            <family val="2"/>
            <scheme val="minor"/>
          </rPr>
          <t>Descripción calculada automáticamente a partir de código del artículo</t>
        </r>
      </text>
    </comment>
    <comment ref="C1507" authorId="2" shapeId="0">
      <text>
        <r>
          <rPr>
            <sz val="11"/>
            <color theme="1"/>
            <rFont val="Calibri"/>
            <family val="2"/>
            <scheme val="minor"/>
          </rPr>
          <t>Seleccione un valor de la lista</t>
        </r>
      </text>
    </comment>
    <comment ref="D1507" authorId="2" shapeId="0">
      <text>
        <r>
          <rPr>
            <sz val="11"/>
            <color theme="1"/>
            <rFont val="Calibri"/>
            <family val="2"/>
            <scheme val="minor"/>
          </rPr>
          <t>Introduzca un número con dos decimales como máximo. Debe ser igual o mayor a la "Cantidad Real Consumida"</t>
        </r>
      </text>
    </comment>
    <comment ref="E1507" authorId="2" shapeId="0">
      <text>
        <r>
          <rPr>
            <sz val="11"/>
            <color theme="1"/>
            <rFont val="Calibri"/>
            <family val="2"/>
            <scheme val="minor"/>
          </rPr>
          <t>Introduzca un número con dos decimales como máximo</t>
        </r>
      </text>
    </comment>
    <comment ref="F1507" authorId="2" shapeId="0">
      <text>
        <r>
          <rPr>
            <sz val="11"/>
            <color theme="1"/>
            <rFont val="Calibri"/>
            <family val="2"/>
            <scheme val="minor"/>
          </rPr>
          <t>Monto calculado automáticamente por el sistema</t>
        </r>
      </text>
    </comment>
    <comment ref="A1512" authorId="1" shapeId="0">
      <text>
        <r>
          <rPr>
            <sz val="11"/>
            <color theme="1"/>
            <rFont val="Calibri"/>
            <family val="2"/>
            <scheme val="minor"/>
          </rPr>
          <t>Introducir un texto con el nombre o referencia de la contratación</t>
        </r>
      </text>
    </comment>
    <comment ref="B1512" authorId="1" shapeId="0">
      <text>
        <r>
          <rPr>
            <sz val="11"/>
            <color theme="1"/>
            <rFont val="Calibri"/>
            <family val="2"/>
            <scheme val="minor"/>
          </rPr>
          <t>Introduzca un texto con la finalidad de la contratación</t>
        </r>
      </text>
    </comment>
    <comment ref="C1512" authorId="1" shapeId="0">
      <text>
        <r>
          <rPr>
            <sz val="11"/>
            <color theme="1"/>
            <rFont val="Calibri"/>
            <family val="2"/>
            <scheme val="minor"/>
          </rPr>
          <t>Seleccionar un valor del listado</t>
        </r>
      </text>
    </comment>
    <comment ref="D1512" authorId="1" shapeId="0">
      <text>
        <r>
          <rPr>
            <sz val="11"/>
            <color theme="1"/>
            <rFont val="Calibri"/>
            <family val="2"/>
            <scheme val="minor"/>
          </rPr>
          <t>Seleccione el tipo de procedimiento</t>
        </r>
      </text>
    </comment>
    <comment ref="E1512" authorId="1" shapeId="0">
      <text>
        <r>
          <rPr>
            <sz val="11"/>
            <color theme="1"/>
            <rFont val="Calibri"/>
            <family val="2"/>
            <scheme val="minor"/>
          </rPr>
          <t>Seleccione un valor de la lista</t>
        </r>
      </text>
    </comment>
    <comment ref="F1512" authorId="2" shapeId="0">
      <text>
        <r>
          <rPr>
            <sz val="11"/>
            <color theme="1"/>
            <rFont val="Calibri"/>
            <family val="2"/>
            <scheme val="minor"/>
          </rPr>
          <t>Introduzca el código SNIP</t>
        </r>
      </text>
    </comment>
    <comment ref="C1513" authorId="2" shapeId="0">
      <text>
        <r>
          <rPr>
            <sz val="11"/>
            <color theme="1"/>
            <rFont val="Calibri"/>
            <family val="2"/>
            <scheme val="minor"/>
          </rPr>
          <t>Introduzca la fecha de inicio del proceso, en formato dd-mm-aaaa</t>
        </r>
      </text>
    </comment>
    <comment ref="F15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2" shapeId="0">
      <text/>
    </comment>
    <comment ref="C1515" authorId="2" shapeId="0">
      <text>
        <r>
          <rPr>
            <sz val="11"/>
            <color theme="1"/>
            <rFont val="Calibri"/>
            <family val="2"/>
            <scheme val="minor"/>
          </rPr>
          <t>Introduzca la fecha prevista de adjudicación, en formato dd-mm-aaaa</t>
        </r>
      </text>
    </comment>
    <comment ref="F1515" authorId="2" shapeId="0">
      <text/>
    </comment>
    <comment ref="F1516" authorId="2" shapeId="0">
      <text/>
    </comment>
    <comment ref="A1518" authorId="2" shapeId="0">
      <text>
        <r>
          <rPr>
            <sz val="11"/>
            <color theme="1"/>
            <rFont val="Calibri"/>
            <family val="2"/>
            <scheme val="minor"/>
          </rPr>
          <t>Introduzca un codigo UNSPSC</t>
        </r>
      </text>
    </comment>
    <comment ref="B1518" authorId="2" shapeId="0">
      <text>
        <r>
          <rPr>
            <sz val="11"/>
            <color theme="1"/>
            <rFont val="Calibri"/>
            <family val="2"/>
            <scheme val="minor"/>
          </rPr>
          <t>Descripción calculada automáticamente a partir de código del artículo</t>
        </r>
      </text>
    </comment>
    <comment ref="C1518" authorId="2" shapeId="0">
      <text>
        <r>
          <rPr>
            <sz val="11"/>
            <color theme="1"/>
            <rFont val="Calibri"/>
            <family val="2"/>
            <scheme val="minor"/>
          </rPr>
          <t>Seleccione un valor de la lista</t>
        </r>
      </text>
    </comment>
    <comment ref="D1518" authorId="2" shapeId="0">
      <text>
        <r>
          <rPr>
            <sz val="11"/>
            <color theme="1"/>
            <rFont val="Calibri"/>
            <family val="2"/>
            <scheme val="minor"/>
          </rPr>
          <t>Introduzca un número con dos decimales como máximo. Debe ser igual o mayor a la "Cantidad Real Consumida"</t>
        </r>
      </text>
    </comment>
    <comment ref="E1518" authorId="2" shapeId="0">
      <text>
        <r>
          <rPr>
            <sz val="11"/>
            <color theme="1"/>
            <rFont val="Calibri"/>
            <family val="2"/>
            <scheme val="minor"/>
          </rPr>
          <t>Introduzca un número con dos decimales como máximo</t>
        </r>
      </text>
    </comment>
    <comment ref="F1518" authorId="2" shapeId="0">
      <text>
        <r>
          <rPr>
            <sz val="11"/>
            <color theme="1"/>
            <rFont val="Calibri"/>
            <family val="2"/>
            <scheme val="minor"/>
          </rPr>
          <t>Monto calculado automáticamente por el sistema</t>
        </r>
      </text>
    </comment>
    <comment ref="A1526" authorId="2" shapeId="0">
      <text>
        <r>
          <rPr>
            <sz val="11"/>
            <color theme="1"/>
            <rFont val="Calibri"/>
            <family val="2"/>
            <scheme val="minor"/>
          </rPr>
          <t>Introducir un texto con el nombre o referencia de la contratación</t>
        </r>
      </text>
    </comment>
    <comment ref="B1526" authorId="2" shapeId="0">
      <text>
        <r>
          <rPr>
            <sz val="11"/>
            <color theme="1"/>
            <rFont val="Calibri"/>
            <family val="2"/>
            <scheme val="minor"/>
          </rPr>
          <t>Introduzca un texto con la finalidad de la contratación</t>
        </r>
      </text>
    </comment>
    <comment ref="C1526" authorId="2" shapeId="0">
      <text>
        <r>
          <rPr>
            <sz val="11"/>
            <color theme="1"/>
            <rFont val="Calibri"/>
            <family val="2"/>
            <scheme val="minor"/>
          </rPr>
          <t>Seleccionar un valor del listado</t>
        </r>
      </text>
    </comment>
    <comment ref="D1526" authorId="2" shapeId="0">
      <text>
        <r>
          <rPr>
            <sz val="11"/>
            <color theme="1"/>
            <rFont val="Calibri"/>
            <family val="2"/>
            <scheme val="minor"/>
          </rPr>
          <t>Seleccione el tipo de procedimiento</t>
        </r>
      </text>
    </comment>
    <comment ref="E1526" authorId="2" shapeId="0">
      <text>
        <r>
          <rPr>
            <sz val="11"/>
            <color theme="1"/>
            <rFont val="Calibri"/>
            <family val="2"/>
            <scheme val="minor"/>
          </rPr>
          <t>Seleccione un valor de la lista</t>
        </r>
      </text>
    </comment>
    <comment ref="F1526" authorId="2" shapeId="0">
      <text>
        <r>
          <rPr>
            <sz val="11"/>
            <color theme="1"/>
            <rFont val="Calibri"/>
            <family val="2"/>
            <scheme val="minor"/>
          </rPr>
          <t>Introduzca el código SNIP</t>
        </r>
      </text>
    </comment>
    <comment ref="C1527" authorId="2" shapeId="0">
      <text>
        <r>
          <rPr>
            <sz val="11"/>
            <color theme="1"/>
            <rFont val="Calibri"/>
            <family val="2"/>
            <scheme val="minor"/>
          </rPr>
          <t>Introduzca la fecha de inicio del proceso, en formato dd-mm-aaaa</t>
        </r>
      </text>
    </comment>
    <comment ref="F15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shapeId="0">
      <text/>
    </comment>
    <comment ref="C1529" authorId="2" shapeId="0">
      <text>
        <r>
          <rPr>
            <sz val="11"/>
            <color theme="1"/>
            <rFont val="Calibri"/>
            <family val="2"/>
            <scheme val="minor"/>
          </rPr>
          <t>Introduzca la fecha prevista de adjudicación, en formato dd-mm-aaaa</t>
        </r>
      </text>
    </comment>
    <comment ref="F1529" authorId="2" shapeId="0">
      <text/>
    </comment>
    <comment ref="F1530" authorId="2" shapeId="0">
      <text/>
    </comment>
    <comment ref="A1532" authorId="2" shapeId="0">
      <text>
        <r>
          <rPr>
            <sz val="11"/>
            <color theme="1"/>
            <rFont val="Calibri"/>
            <family val="2"/>
            <scheme val="minor"/>
          </rPr>
          <t>Introduzca un codigo UNSPSC</t>
        </r>
      </text>
    </comment>
    <comment ref="B1532" authorId="2" shapeId="0">
      <text>
        <r>
          <rPr>
            <sz val="11"/>
            <color theme="1"/>
            <rFont val="Calibri"/>
            <family val="2"/>
            <scheme val="minor"/>
          </rPr>
          <t>Descripción calculada automáticamente a partir de código del artículo</t>
        </r>
      </text>
    </comment>
    <comment ref="C1532" authorId="2" shapeId="0">
      <text>
        <r>
          <rPr>
            <sz val="11"/>
            <color theme="1"/>
            <rFont val="Calibri"/>
            <family val="2"/>
            <scheme val="minor"/>
          </rPr>
          <t>Seleccione un valor de la lista</t>
        </r>
      </text>
    </comment>
    <comment ref="D1532" authorId="2" shapeId="0">
      <text>
        <r>
          <rPr>
            <sz val="11"/>
            <color theme="1"/>
            <rFont val="Calibri"/>
            <family val="2"/>
            <scheme val="minor"/>
          </rPr>
          <t>Introduzca un número con dos decimales como máximo. Debe ser igual o mayor a la "Cantidad Real Consumida"</t>
        </r>
      </text>
    </comment>
    <comment ref="E1532" authorId="2" shapeId="0">
      <text>
        <r>
          <rPr>
            <sz val="11"/>
            <color theme="1"/>
            <rFont val="Calibri"/>
            <family val="2"/>
            <scheme val="minor"/>
          </rPr>
          <t>Introduzca un número con dos decimales como máximo</t>
        </r>
      </text>
    </comment>
    <comment ref="F1532" authorId="2" shapeId="0">
      <text>
        <r>
          <rPr>
            <sz val="11"/>
            <color theme="1"/>
            <rFont val="Calibri"/>
            <family val="2"/>
            <scheme val="minor"/>
          </rPr>
          <t>Monto calculado automáticamente por el sistema</t>
        </r>
      </text>
    </comment>
    <comment ref="A1537" authorId="2" shapeId="0">
      <text>
        <r>
          <rPr>
            <sz val="11"/>
            <color theme="1"/>
            <rFont val="Calibri"/>
            <family val="2"/>
            <scheme val="minor"/>
          </rPr>
          <t>Introducir un texto con el nombre o referencia de la contratación</t>
        </r>
      </text>
    </comment>
    <comment ref="B1537" authorId="2" shapeId="0">
      <text>
        <r>
          <rPr>
            <sz val="11"/>
            <color theme="1"/>
            <rFont val="Calibri"/>
            <family val="2"/>
            <scheme val="minor"/>
          </rPr>
          <t>Introduzca un texto con la finalidad de la contratación</t>
        </r>
      </text>
    </comment>
    <comment ref="C1537" authorId="2" shapeId="0">
      <text>
        <r>
          <rPr>
            <sz val="11"/>
            <color theme="1"/>
            <rFont val="Calibri"/>
            <family val="2"/>
            <scheme val="minor"/>
          </rPr>
          <t>Seleccionar un valor del listado</t>
        </r>
      </text>
    </comment>
    <comment ref="D1537" authorId="2" shapeId="0">
      <text>
        <r>
          <rPr>
            <sz val="11"/>
            <color theme="1"/>
            <rFont val="Calibri"/>
            <family val="2"/>
            <scheme val="minor"/>
          </rPr>
          <t>Seleccione el tipo de procedimiento</t>
        </r>
      </text>
    </comment>
    <comment ref="E1537" authorId="2" shapeId="0">
      <text>
        <r>
          <rPr>
            <sz val="11"/>
            <color theme="1"/>
            <rFont val="Calibri"/>
            <family val="2"/>
            <scheme val="minor"/>
          </rPr>
          <t>Seleccione un valor de la lista</t>
        </r>
      </text>
    </comment>
    <comment ref="F1537" authorId="2" shapeId="0">
      <text>
        <r>
          <rPr>
            <sz val="11"/>
            <color theme="1"/>
            <rFont val="Calibri"/>
            <family val="2"/>
            <scheme val="minor"/>
          </rPr>
          <t>Introduzca el código SNIP</t>
        </r>
      </text>
    </comment>
    <comment ref="C1538" authorId="2" shapeId="0">
      <text>
        <r>
          <rPr>
            <sz val="11"/>
            <color theme="1"/>
            <rFont val="Calibri"/>
            <family val="2"/>
            <scheme val="minor"/>
          </rPr>
          <t>Introduzca la fecha de inicio del proceso, en formato dd-mm-aaaa</t>
        </r>
      </text>
    </comment>
    <comment ref="F15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shapeId="0">
      <text/>
    </comment>
    <comment ref="C1540" authorId="2" shapeId="0">
      <text>
        <r>
          <rPr>
            <sz val="11"/>
            <color theme="1"/>
            <rFont val="Calibri"/>
            <family val="2"/>
            <scheme val="minor"/>
          </rPr>
          <t>Introduzca la fecha prevista de adjudicación, en formato dd-mm-aaaa</t>
        </r>
      </text>
    </comment>
    <comment ref="F1540" authorId="2" shapeId="0">
      <text/>
    </comment>
    <comment ref="F1541" authorId="2" shapeId="0">
      <text/>
    </comment>
    <comment ref="A1543" authorId="2" shapeId="0">
      <text>
        <r>
          <rPr>
            <sz val="11"/>
            <color theme="1"/>
            <rFont val="Calibri"/>
            <family val="2"/>
            <scheme val="minor"/>
          </rPr>
          <t>Introduzca un codigo UNSPSC</t>
        </r>
      </text>
    </comment>
    <comment ref="B1543" authorId="2" shapeId="0">
      <text>
        <r>
          <rPr>
            <sz val="11"/>
            <color theme="1"/>
            <rFont val="Calibri"/>
            <family val="2"/>
            <scheme val="minor"/>
          </rPr>
          <t>Descripción calculada automáticamente a partir de código del artículo</t>
        </r>
      </text>
    </comment>
    <comment ref="C1543" authorId="2" shapeId="0">
      <text>
        <r>
          <rPr>
            <sz val="11"/>
            <color theme="1"/>
            <rFont val="Calibri"/>
            <family val="2"/>
            <scheme val="minor"/>
          </rPr>
          <t>Seleccione un valor de la lista</t>
        </r>
      </text>
    </comment>
    <comment ref="D1543" authorId="2" shapeId="0">
      <text>
        <r>
          <rPr>
            <sz val="11"/>
            <color theme="1"/>
            <rFont val="Calibri"/>
            <family val="2"/>
            <scheme val="minor"/>
          </rPr>
          <t>Introduzca un número con dos decimales como máximo. Debe ser igual o mayor a la "Cantidad Real Consumida"</t>
        </r>
      </text>
    </comment>
    <comment ref="E1543" authorId="2" shapeId="0">
      <text>
        <r>
          <rPr>
            <sz val="11"/>
            <color theme="1"/>
            <rFont val="Calibri"/>
            <family val="2"/>
            <scheme val="minor"/>
          </rPr>
          <t>Introduzca un número con dos decimales como máximo</t>
        </r>
      </text>
    </comment>
    <comment ref="F1543" authorId="2" shapeId="0">
      <text>
        <r>
          <rPr>
            <sz val="11"/>
            <color theme="1"/>
            <rFont val="Calibri"/>
            <family val="2"/>
            <scheme val="minor"/>
          </rPr>
          <t>Monto calculado automáticamente por el sistema</t>
        </r>
      </text>
    </comment>
    <comment ref="A1549" authorId="1" shapeId="0">
      <text>
        <r>
          <rPr>
            <sz val="11"/>
            <color theme="1"/>
            <rFont val="Calibri"/>
            <family val="2"/>
            <scheme val="minor"/>
          </rPr>
          <t>Introducir un texto con el nombre o referencia de la contratación</t>
        </r>
      </text>
    </comment>
    <comment ref="B1549" authorId="1" shapeId="0">
      <text>
        <r>
          <rPr>
            <sz val="11"/>
            <color theme="1"/>
            <rFont val="Calibri"/>
            <family val="2"/>
            <scheme val="minor"/>
          </rPr>
          <t>Introduzca un texto con la finalidad de la contratación</t>
        </r>
      </text>
    </comment>
    <comment ref="C1549" authorId="1" shapeId="0">
      <text>
        <r>
          <rPr>
            <sz val="11"/>
            <color theme="1"/>
            <rFont val="Calibri"/>
            <family val="2"/>
            <scheme val="minor"/>
          </rPr>
          <t>Seleccionar un valor del listado</t>
        </r>
      </text>
    </comment>
    <comment ref="D1549" authorId="1" shapeId="0">
      <text>
        <r>
          <rPr>
            <sz val="11"/>
            <color theme="1"/>
            <rFont val="Calibri"/>
            <family val="2"/>
            <scheme val="minor"/>
          </rPr>
          <t>Seleccione el tipo de procedimiento</t>
        </r>
      </text>
    </comment>
    <comment ref="E1549" authorId="1" shapeId="0">
      <text>
        <r>
          <rPr>
            <sz val="11"/>
            <color theme="1"/>
            <rFont val="Calibri"/>
            <family val="2"/>
            <scheme val="minor"/>
          </rPr>
          <t>Seleccione un valor de la lista</t>
        </r>
      </text>
    </comment>
    <comment ref="F1549" authorId="2" shapeId="0">
      <text>
        <r>
          <rPr>
            <sz val="11"/>
            <color theme="1"/>
            <rFont val="Calibri"/>
            <family val="2"/>
            <scheme val="minor"/>
          </rPr>
          <t>Introduzca el código SNIP</t>
        </r>
      </text>
    </comment>
    <comment ref="C1550" authorId="2" shapeId="0">
      <text>
        <r>
          <rPr>
            <sz val="11"/>
            <color theme="1"/>
            <rFont val="Calibri"/>
            <family val="2"/>
            <scheme val="minor"/>
          </rPr>
          <t>Introduzca la fecha de inicio del proceso, en formato dd-mm-aaaa</t>
        </r>
      </text>
    </comment>
    <comment ref="F15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1" authorId="2" shapeId="0">
      <text/>
    </comment>
    <comment ref="C1552" authorId="2" shapeId="0">
      <text>
        <r>
          <rPr>
            <sz val="11"/>
            <color theme="1"/>
            <rFont val="Calibri"/>
            <family val="2"/>
            <scheme val="minor"/>
          </rPr>
          <t>Introduzca la fecha prevista de adjudicación, en formato dd-mm-aaaa</t>
        </r>
      </text>
    </comment>
    <comment ref="F1552" authorId="2" shapeId="0">
      <text/>
    </comment>
    <comment ref="F1553" authorId="2" shapeId="0">
      <text/>
    </comment>
    <comment ref="A1555" authorId="2" shapeId="0">
      <text>
        <r>
          <rPr>
            <sz val="11"/>
            <color theme="1"/>
            <rFont val="Calibri"/>
            <family val="2"/>
            <scheme val="minor"/>
          </rPr>
          <t>Introduzca un codigo UNSPSC</t>
        </r>
      </text>
    </comment>
    <comment ref="B1555" authorId="2" shapeId="0">
      <text>
        <r>
          <rPr>
            <sz val="11"/>
            <color theme="1"/>
            <rFont val="Calibri"/>
            <family val="2"/>
            <scheme val="minor"/>
          </rPr>
          <t>Descripción calculada automáticamente a partir de código del artículo</t>
        </r>
      </text>
    </comment>
    <comment ref="C1555" authorId="2" shapeId="0">
      <text>
        <r>
          <rPr>
            <sz val="11"/>
            <color theme="1"/>
            <rFont val="Calibri"/>
            <family val="2"/>
            <scheme val="minor"/>
          </rPr>
          <t>Seleccione un valor de la lista</t>
        </r>
      </text>
    </comment>
    <comment ref="D1555" authorId="2" shapeId="0">
      <text>
        <r>
          <rPr>
            <sz val="11"/>
            <color theme="1"/>
            <rFont val="Calibri"/>
            <family val="2"/>
            <scheme val="minor"/>
          </rPr>
          <t>Introduzca un número con dos decimales como máximo. Debe ser igual o mayor a la "Cantidad Real Consumida"</t>
        </r>
      </text>
    </comment>
    <comment ref="E1555" authorId="2" shapeId="0">
      <text>
        <r>
          <rPr>
            <sz val="11"/>
            <color theme="1"/>
            <rFont val="Calibri"/>
            <family val="2"/>
            <scheme val="minor"/>
          </rPr>
          <t>Introduzca un número con dos decimales como máximo</t>
        </r>
      </text>
    </comment>
    <comment ref="F1555" authorId="2" shapeId="0">
      <text>
        <r>
          <rPr>
            <sz val="11"/>
            <color theme="1"/>
            <rFont val="Calibri"/>
            <family val="2"/>
            <scheme val="minor"/>
          </rPr>
          <t>Monto calculado automáticamente por el sistema</t>
        </r>
      </text>
    </comment>
    <comment ref="A1561" authorId="2" shapeId="0">
      <text>
        <r>
          <rPr>
            <sz val="11"/>
            <color theme="1"/>
            <rFont val="Calibri"/>
            <family val="2"/>
            <scheme val="minor"/>
          </rPr>
          <t>Introducir un texto con el nombre o referencia de la contratación</t>
        </r>
      </text>
    </comment>
    <comment ref="B1561" authorId="2" shapeId="0">
      <text>
        <r>
          <rPr>
            <sz val="11"/>
            <color theme="1"/>
            <rFont val="Calibri"/>
            <family val="2"/>
            <scheme val="minor"/>
          </rPr>
          <t>Introduzca un texto con la finalidad de la contratación</t>
        </r>
      </text>
    </comment>
    <comment ref="C1561" authorId="2" shapeId="0">
      <text>
        <r>
          <rPr>
            <sz val="11"/>
            <color theme="1"/>
            <rFont val="Calibri"/>
            <family val="2"/>
            <scheme val="minor"/>
          </rPr>
          <t>Seleccionar un valor del listado</t>
        </r>
      </text>
    </comment>
    <comment ref="D1561" authorId="2" shapeId="0">
      <text>
        <r>
          <rPr>
            <sz val="11"/>
            <color theme="1"/>
            <rFont val="Calibri"/>
            <family val="2"/>
            <scheme val="minor"/>
          </rPr>
          <t>Seleccione el tipo de procedimiento</t>
        </r>
      </text>
    </comment>
    <comment ref="E1561" authorId="2" shapeId="0">
      <text>
        <r>
          <rPr>
            <sz val="11"/>
            <color theme="1"/>
            <rFont val="Calibri"/>
            <family val="2"/>
            <scheme val="minor"/>
          </rPr>
          <t>Seleccione un valor de la lista</t>
        </r>
      </text>
    </comment>
    <comment ref="F1561" authorId="2" shapeId="0">
      <text>
        <r>
          <rPr>
            <sz val="11"/>
            <color theme="1"/>
            <rFont val="Calibri"/>
            <family val="2"/>
            <scheme val="minor"/>
          </rPr>
          <t>Introduzca el código SNIP</t>
        </r>
      </text>
    </comment>
    <comment ref="C1562" authorId="2" shapeId="0">
      <text>
        <r>
          <rPr>
            <sz val="11"/>
            <color theme="1"/>
            <rFont val="Calibri"/>
            <family val="2"/>
            <scheme val="minor"/>
          </rPr>
          <t>Introduzca la fecha de inicio del proceso, en formato dd-mm-aaaa</t>
        </r>
      </text>
    </comment>
    <comment ref="F15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3" authorId="2" shapeId="0">
      <text/>
    </comment>
    <comment ref="C1564" authorId="2" shapeId="0">
      <text>
        <r>
          <rPr>
            <sz val="11"/>
            <color theme="1"/>
            <rFont val="Calibri"/>
            <family val="2"/>
            <scheme val="minor"/>
          </rPr>
          <t>Introduzca la fecha prevista de adjudicación, en formato dd-mm-aaaa</t>
        </r>
      </text>
    </comment>
    <comment ref="F1564" authorId="2" shapeId="0">
      <text/>
    </comment>
    <comment ref="F1565" authorId="2" shapeId="0">
      <text/>
    </comment>
    <comment ref="A1567" authorId="2" shapeId="0">
      <text>
        <r>
          <rPr>
            <sz val="11"/>
            <color theme="1"/>
            <rFont val="Calibri"/>
            <family val="2"/>
            <scheme val="minor"/>
          </rPr>
          <t>Introduzca un codigo UNSPSC</t>
        </r>
      </text>
    </comment>
    <comment ref="B1567" authorId="2" shapeId="0">
      <text>
        <r>
          <rPr>
            <sz val="11"/>
            <color theme="1"/>
            <rFont val="Calibri"/>
            <family val="2"/>
            <scheme val="minor"/>
          </rPr>
          <t>Descripción calculada automáticamente a partir de código del artículo</t>
        </r>
      </text>
    </comment>
    <comment ref="C1567" authorId="2" shapeId="0">
      <text>
        <r>
          <rPr>
            <sz val="11"/>
            <color theme="1"/>
            <rFont val="Calibri"/>
            <family val="2"/>
            <scheme val="minor"/>
          </rPr>
          <t>Seleccione un valor de la lista</t>
        </r>
      </text>
    </comment>
    <comment ref="D1567" authorId="2" shapeId="0">
      <text>
        <r>
          <rPr>
            <sz val="11"/>
            <color theme="1"/>
            <rFont val="Calibri"/>
            <family val="2"/>
            <scheme val="minor"/>
          </rPr>
          <t>Introduzca un número con dos decimales como máximo. Debe ser igual o mayor a la "Cantidad Real Consumida"</t>
        </r>
      </text>
    </comment>
    <comment ref="E1567" authorId="2" shapeId="0">
      <text>
        <r>
          <rPr>
            <sz val="11"/>
            <color theme="1"/>
            <rFont val="Calibri"/>
            <family val="2"/>
            <scheme val="minor"/>
          </rPr>
          <t>Introduzca un número con dos decimales como máximo</t>
        </r>
      </text>
    </comment>
    <comment ref="F1567" authorId="2" shapeId="0">
      <text>
        <r>
          <rPr>
            <sz val="11"/>
            <color theme="1"/>
            <rFont val="Calibri"/>
            <family val="2"/>
            <scheme val="minor"/>
          </rPr>
          <t>Monto calculado automáticamente por el sistema</t>
        </r>
      </text>
    </comment>
    <comment ref="A1572" authorId="1" shapeId="0">
      <text>
        <r>
          <rPr>
            <sz val="11"/>
            <color theme="1"/>
            <rFont val="Calibri"/>
            <family val="2"/>
            <scheme val="minor"/>
          </rPr>
          <t>Introducir un texto con el nombre o referencia de la contratación</t>
        </r>
      </text>
    </comment>
    <comment ref="B1572" authorId="1" shapeId="0">
      <text>
        <r>
          <rPr>
            <sz val="11"/>
            <color theme="1"/>
            <rFont val="Calibri"/>
            <family val="2"/>
            <scheme val="minor"/>
          </rPr>
          <t>Introduzca un texto con la finalidad de la contratación</t>
        </r>
      </text>
    </comment>
    <comment ref="C1572" authorId="1" shapeId="0">
      <text>
        <r>
          <rPr>
            <sz val="11"/>
            <color theme="1"/>
            <rFont val="Calibri"/>
            <family val="2"/>
            <scheme val="minor"/>
          </rPr>
          <t>Seleccionar un valor del listado</t>
        </r>
      </text>
    </comment>
    <comment ref="D1572" authorId="1" shapeId="0">
      <text>
        <r>
          <rPr>
            <sz val="11"/>
            <color theme="1"/>
            <rFont val="Calibri"/>
            <family val="2"/>
            <scheme val="minor"/>
          </rPr>
          <t>Seleccione el tipo de procedimiento</t>
        </r>
      </text>
    </comment>
    <comment ref="E1572" authorId="1" shapeId="0">
      <text>
        <r>
          <rPr>
            <sz val="11"/>
            <color theme="1"/>
            <rFont val="Calibri"/>
            <family val="2"/>
            <scheme val="minor"/>
          </rPr>
          <t>Seleccione un valor de la lista</t>
        </r>
      </text>
    </comment>
    <comment ref="F1572" authorId="2" shapeId="0">
      <text>
        <r>
          <rPr>
            <sz val="11"/>
            <color theme="1"/>
            <rFont val="Calibri"/>
            <family val="2"/>
            <scheme val="minor"/>
          </rPr>
          <t>Introduzca el código SNIP</t>
        </r>
      </text>
    </comment>
    <comment ref="C1573" authorId="2" shapeId="0">
      <text>
        <r>
          <rPr>
            <sz val="11"/>
            <color theme="1"/>
            <rFont val="Calibri"/>
            <family val="2"/>
            <scheme val="minor"/>
          </rPr>
          <t>Introduzca la fecha de inicio del proceso, en formato dd-mm-aaaa</t>
        </r>
      </text>
    </comment>
    <comment ref="F15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2" shapeId="0">
      <text/>
    </comment>
    <comment ref="C1575" authorId="2" shapeId="0">
      <text>
        <r>
          <rPr>
            <sz val="11"/>
            <color theme="1"/>
            <rFont val="Calibri"/>
            <family val="2"/>
            <scheme val="minor"/>
          </rPr>
          <t>Introduzca la fecha prevista de adjudicación, en formato dd-mm-aaaa</t>
        </r>
      </text>
    </comment>
    <comment ref="F1575" authorId="2" shapeId="0">
      <text/>
    </comment>
    <comment ref="F1576" authorId="2" shapeId="0">
      <text/>
    </comment>
    <comment ref="A1578" authorId="2" shapeId="0">
      <text>
        <r>
          <rPr>
            <sz val="11"/>
            <color theme="1"/>
            <rFont val="Calibri"/>
            <family val="2"/>
            <scheme val="minor"/>
          </rPr>
          <t>Introduzca un codigo UNSPSC</t>
        </r>
      </text>
    </comment>
    <comment ref="B1578" authorId="2" shapeId="0">
      <text>
        <r>
          <rPr>
            <sz val="11"/>
            <color theme="1"/>
            <rFont val="Calibri"/>
            <family val="2"/>
            <scheme val="minor"/>
          </rPr>
          <t>Descripción calculada automáticamente a partir de código del artículo</t>
        </r>
      </text>
    </comment>
    <comment ref="C1578" authorId="2" shapeId="0">
      <text>
        <r>
          <rPr>
            <sz val="11"/>
            <color theme="1"/>
            <rFont val="Calibri"/>
            <family val="2"/>
            <scheme val="minor"/>
          </rPr>
          <t>Seleccione un valor de la lista</t>
        </r>
      </text>
    </comment>
    <comment ref="D1578" authorId="2" shapeId="0">
      <text>
        <r>
          <rPr>
            <sz val="11"/>
            <color theme="1"/>
            <rFont val="Calibri"/>
            <family val="2"/>
            <scheme val="minor"/>
          </rPr>
          <t>Introduzca un número con dos decimales como máximo. Debe ser igual o mayor a la "Cantidad Real Consumida"</t>
        </r>
      </text>
    </comment>
    <comment ref="E1578" authorId="2" shapeId="0">
      <text>
        <r>
          <rPr>
            <sz val="11"/>
            <color theme="1"/>
            <rFont val="Calibri"/>
            <family val="2"/>
            <scheme val="minor"/>
          </rPr>
          <t>Introduzca un número con dos decimales como máximo</t>
        </r>
      </text>
    </comment>
    <comment ref="F1578" authorId="2" shapeId="0">
      <text>
        <r>
          <rPr>
            <sz val="11"/>
            <color theme="1"/>
            <rFont val="Calibri"/>
            <family val="2"/>
            <scheme val="minor"/>
          </rPr>
          <t>Monto calculado automáticamente por el sistema</t>
        </r>
      </text>
    </comment>
    <comment ref="A1583" authorId="1" shapeId="0">
      <text>
        <r>
          <rPr>
            <sz val="11"/>
            <color theme="1"/>
            <rFont val="Calibri"/>
            <family val="2"/>
            <scheme val="minor"/>
          </rPr>
          <t>Introducir un texto con el nombre o referencia de la contratación</t>
        </r>
      </text>
    </comment>
    <comment ref="B1583" authorId="1" shapeId="0">
      <text>
        <r>
          <rPr>
            <sz val="11"/>
            <color theme="1"/>
            <rFont val="Calibri"/>
            <family val="2"/>
            <scheme val="minor"/>
          </rPr>
          <t>Introduzca un texto con la finalidad de la contratación</t>
        </r>
      </text>
    </comment>
    <comment ref="C1583" authorId="1" shapeId="0">
      <text>
        <r>
          <rPr>
            <sz val="11"/>
            <color theme="1"/>
            <rFont val="Calibri"/>
            <family val="2"/>
            <scheme val="minor"/>
          </rPr>
          <t>Seleccionar un valor del listado</t>
        </r>
      </text>
    </comment>
    <comment ref="D1583" authorId="1" shapeId="0">
      <text>
        <r>
          <rPr>
            <sz val="11"/>
            <color theme="1"/>
            <rFont val="Calibri"/>
            <family val="2"/>
            <scheme val="minor"/>
          </rPr>
          <t>Seleccione el tipo de procedimiento</t>
        </r>
      </text>
    </comment>
    <comment ref="E1583" authorId="1" shapeId="0">
      <text>
        <r>
          <rPr>
            <sz val="11"/>
            <color theme="1"/>
            <rFont val="Calibri"/>
            <family val="2"/>
            <scheme val="minor"/>
          </rPr>
          <t>Seleccione un valor de la lista</t>
        </r>
      </text>
    </comment>
    <comment ref="F1583" authorId="2" shapeId="0">
      <text>
        <r>
          <rPr>
            <sz val="11"/>
            <color theme="1"/>
            <rFont val="Calibri"/>
            <family val="2"/>
            <scheme val="minor"/>
          </rPr>
          <t>Introduzca el código SNIP</t>
        </r>
      </text>
    </comment>
    <comment ref="C1584" authorId="2" shapeId="0">
      <text>
        <r>
          <rPr>
            <sz val="11"/>
            <color theme="1"/>
            <rFont val="Calibri"/>
            <family val="2"/>
            <scheme val="minor"/>
          </rPr>
          <t>Introduzca la fecha de inicio del proceso, en formato dd-mm-aaaa</t>
        </r>
      </text>
    </comment>
    <comment ref="F1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text/>
    </comment>
    <comment ref="C1586" authorId="2" shapeId="0">
      <text>
        <r>
          <rPr>
            <sz val="11"/>
            <color theme="1"/>
            <rFont val="Calibri"/>
            <family val="2"/>
            <scheme val="minor"/>
          </rPr>
          <t>Introduzca la fecha prevista de adjudicación, en formato dd-mm-aaaa</t>
        </r>
      </text>
    </comment>
    <comment ref="F1586" authorId="2" shapeId="0">
      <text/>
    </comment>
    <comment ref="F1587" authorId="2" shapeId="0">
      <text/>
    </comment>
    <comment ref="A1589" authorId="2" shapeId="0">
      <text>
        <r>
          <rPr>
            <sz val="11"/>
            <color theme="1"/>
            <rFont val="Calibri"/>
            <family val="2"/>
            <scheme val="minor"/>
          </rPr>
          <t>Introduzca un codigo UNSPSC</t>
        </r>
      </text>
    </comment>
    <comment ref="B1589" authorId="2" shapeId="0">
      <text>
        <r>
          <rPr>
            <sz val="11"/>
            <color theme="1"/>
            <rFont val="Calibri"/>
            <family val="2"/>
            <scheme val="minor"/>
          </rPr>
          <t>Descripción calculada automáticamente a partir de código del artículo</t>
        </r>
      </text>
    </comment>
    <comment ref="C1589" authorId="2" shapeId="0">
      <text>
        <r>
          <rPr>
            <sz val="11"/>
            <color theme="1"/>
            <rFont val="Calibri"/>
            <family val="2"/>
            <scheme val="minor"/>
          </rPr>
          <t>Seleccione un valor de la lista</t>
        </r>
      </text>
    </comment>
    <comment ref="D1589" authorId="2" shapeId="0">
      <text>
        <r>
          <rPr>
            <sz val="11"/>
            <color theme="1"/>
            <rFont val="Calibri"/>
            <family val="2"/>
            <scheme val="minor"/>
          </rPr>
          <t>Introduzca un número con dos decimales como máximo. Debe ser igual o mayor a la "Cantidad Real Consumida"</t>
        </r>
      </text>
    </comment>
    <comment ref="E1589" authorId="2" shapeId="0">
      <text>
        <r>
          <rPr>
            <sz val="11"/>
            <color theme="1"/>
            <rFont val="Calibri"/>
            <family val="2"/>
            <scheme val="minor"/>
          </rPr>
          <t>Introduzca un número con dos decimales como máximo</t>
        </r>
      </text>
    </comment>
    <comment ref="F1589" authorId="2" shapeId="0">
      <text>
        <r>
          <rPr>
            <sz val="11"/>
            <color theme="1"/>
            <rFont val="Calibri"/>
            <family val="2"/>
            <scheme val="minor"/>
          </rPr>
          <t>Monto calculado automáticamente por el sistema</t>
        </r>
      </text>
    </comment>
    <comment ref="A1594" authorId="1" shapeId="0">
      <text>
        <r>
          <rPr>
            <sz val="11"/>
            <color theme="1"/>
            <rFont val="Calibri"/>
            <family val="2"/>
            <scheme val="minor"/>
          </rPr>
          <t>Introducir un texto con el nombre o referencia de la contratación</t>
        </r>
      </text>
    </comment>
    <comment ref="B1594" authorId="1" shapeId="0">
      <text>
        <r>
          <rPr>
            <sz val="11"/>
            <color theme="1"/>
            <rFont val="Calibri"/>
            <family val="2"/>
            <scheme val="minor"/>
          </rPr>
          <t>Introduzca un texto con la finalidad de la contratación</t>
        </r>
      </text>
    </comment>
    <comment ref="C1594" authorId="1" shapeId="0">
      <text>
        <r>
          <rPr>
            <sz val="11"/>
            <color theme="1"/>
            <rFont val="Calibri"/>
            <family val="2"/>
            <scheme val="minor"/>
          </rPr>
          <t>Seleccionar un valor del listado</t>
        </r>
      </text>
    </comment>
    <comment ref="D1594" authorId="1" shapeId="0">
      <text>
        <r>
          <rPr>
            <sz val="11"/>
            <color theme="1"/>
            <rFont val="Calibri"/>
            <family val="2"/>
            <scheme val="minor"/>
          </rPr>
          <t>Seleccione el tipo de procedimiento</t>
        </r>
      </text>
    </comment>
    <comment ref="E1594" authorId="1" shapeId="0">
      <text>
        <r>
          <rPr>
            <sz val="11"/>
            <color theme="1"/>
            <rFont val="Calibri"/>
            <family val="2"/>
            <scheme val="minor"/>
          </rPr>
          <t>Seleccione un valor de la lista</t>
        </r>
      </text>
    </comment>
    <comment ref="F1594" authorId="2" shapeId="0">
      <text>
        <r>
          <rPr>
            <sz val="11"/>
            <color theme="1"/>
            <rFont val="Calibri"/>
            <family val="2"/>
            <scheme val="minor"/>
          </rPr>
          <t>Introduzca el código SNIP</t>
        </r>
      </text>
    </comment>
    <comment ref="C1595" authorId="2" shapeId="0">
      <text>
        <r>
          <rPr>
            <sz val="11"/>
            <color theme="1"/>
            <rFont val="Calibri"/>
            <family val="2"/>
            <scheme val="minor"/>
          </rPr>
          <t>Introduzca la fecha de inicio del proceso, en formato dd-mm-aaaa</t>
        </r>
      </text>
    </comment>
    <comment ref="F1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text/>
    </comment>
    <comment ref="C1597" authorId="2" shapeId="0">
      <text>
        <r>
          <rPr>
            <sz val="11"/>
            <color theme="1"/>
            <rFont val="Calibri"/>
            <family val="2"/>
            <scheme val="minor"/>
          </rPr>
          <t>Introduzca la fecha prevista de adjudicación, en formato dd-mm-aaaa</t>
        </r>
      </text>
    </comment>
    <comment ref="F1597" authorId="2" shapeId="0">
      <text/>
    </comment>
    <comment ref="F1598" authorId="2" shapeId="0">
      <text/>
    </comment>
    <comment ref="A1600" authorId="2" shapeId="0">
      <text>
        <r>
          <rPr>
            <sz val="11"/>
            <color theme="1"/>
            <rFont val="Calibri"/>
            <family val="2"/>
            <scheme val="minor"/>
          </rPr>
          <t>Introduzca un codigo UNSPSC</t>
        </r>
      </text>
    </comment>
    <comment ref="B1600" authorId="2" shapeId="0">
      <text>
        <r>
          <rPr>
            <sz val="11"/>
            <color theme="1"/>
            <rFont val="Calibri"/>
            <family val="2"/>
            <scheme val="minor"/>
          </rPr>
          <t>Descripción calculada automáticamente a partir de código del artículo</t>
        </r>
      </text>
    </comment>
    <comment ref="C1600" authorId="2" shapeId="0">
      <text>
        <r>
          <rPr>
            <sz val="11"/>
            <color theme="1"/>
            <rFont val="Calibri"/>
            <family val="2"/>
            <scheme val="minor"/>
          </rPr>
          <t>Seleccione un valor de la lista</t>
        </r>
      </text>
    </comment>
    <comment ref="D1600" authorId="2" shapeId="0">
      <text>
        <r>
          <rPr>
            <sz val="11"/>
            <color theme="1"/>
            <rFont val="Calibri"/>
            <family val="2"/>
            <scheme val="minor"/>
          </rPr>
          <t>Introduzca un número con dos decimales como máximo. Debe ser igual o mayor a la "Cantidad Real Consumida"</t>
        </r>
      </text>
    </comment>
    <comment ref="E1600" authorId="2" shapeId="0">
      <text>
        <r>
          <rPr>
            <sz val="11"/>
            <color theme="1"/>
            <rFont val="Calibri"/>
            <family val="2"/>
            <scheme val="minor"/>
          </rPr>
          <t>Introduzca un número con dos decimales como máximo</t>
        </r>
      </text>
    </comment>
    <comment ref="F1600" authorId="2" shapeId="0">
      <text>
        <r>
          <rPr>
            <sz val="11"/>
            <color theme="1"/>
            <rFont val="Calibri"/>
            <family val="2"/>
            <scheme val="minor"/>
          </rPr>
          <t>Monto calculado automáticamente por el sistema</t>
        </r>
      </text>
    </comment>
    <comment ref="A1605" authorId="1" shapeId="0">
      <text>
        <r>
          <rPr>
            <sz val="11"/>
            <color theme="1"/>
            <rFont val="Calibri"/>
            <family val="2"/>
            <scheme val="minor"/>
          </rPr>
          <t>Introducir un texto con el nombre o referencia de la contratación</t>
        </r>
      </text>
    </comment>
    <comment ref="B1605" authorId="1" shapeId="0">
      <text>
        <r>
          <rPr>
            <sz val="11"/>
            <color theme="1"/>
            <rFont val="Calibri"/>
            <family val="2"/>
            <scheme val="minor"/>
          </rPr>
          <t>Introduzca un texto con la finalidad de la contratación</t>
        </r>
      </text>
    </comment>
    <comment ref="C1605" authorId="1" shapeId="0">
      <text>
        <r>
          <rPr>
            <sz val="11"/>
            <color theme="1"/>
            <rFont val="Calibri"/>
            <family val="2"/>
            <scheme val="minor"/>
          </rPr>
          <t>Seleccionar un valor del listado</t>
        </r>
      </text>
    </comment>
    <comment ref="D1605" authorId="1" shapeId="0">
      <text>
        <r>
          <rPr>
            <sz val="11"/>
            <color theme="1"/>
            <rFont val="Calibri"/>
            <family val="2"/>
            <scheme val="minor"/>
          </rPr>
          <t>Seleccione el tipo de procedimiento</t>
        </r>
      </text>
    </comment>
    <comment ref="E1605" authorId="1" shapeId="0">
      <text>
        <r>
          <rPr>
            <sz val="11"/>
            <color theme="1"/>
            <rFont val="Calibri"/>
            <family val="2"/>
            <scheme val="minor"/>
          </rPr>
          <t>Seleccione un valor de la lista</t>
        </r>
      </text>
    </comment>
    <comment ref="F1605" authorId="2" shapeId="0">
      <text>
        <r>
          <rPr>
            <sz val="11"/>
            <color theme="1"/>
            <rFont val="Calibri"/>
            <family val="2"/>
            <scheme val="minor"/>
          </rPr>
          <t>Introduzca el código SNIP</t>
        </r>
      </text>
    </comment>
    <comment ref="C1606" authorId="2" shapeId="0">
      <text>
        <r>
          <rPr>
            <sz val="11"/>
            <color theme="1"/>
            <rFont val="Calibri"/>
            <family val="2"/>
            <scheme val="minor"/>
          </rPr>
          <t>Introduzca la fecha de inicio del proceso, en formato dd-mm-aaaa</t>
        </r>
      </text>
    </comment>
    <comment ref="F1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2" shapeId="0">
      <text/>
    </comment>
    <comment ref="C1608" authorId="2" shapeId="0">
      <text>
        <r>
          <rPr>
            <sz val="11"/>
            <color theme="1"/>
            <rFont val="Calibri"/>
            <family val="2"/>
            <scheme val="minor"/>
          </rPr>
          <t>Introduzca la fecha prevista de adjudicación, en formato dd-mm-aaaa</t>
        </r>
      </text>
    </comment>
    <comment ref="F1608" authorId="2" shapeId="0">
      <text/>
    </comment>
    <comment ref="F1609" authorId="2" shapeId="0">
      <text/>
    </comment>
    <comment ref="A1611" authorId="2" shapeId="0">
      <text>
        <r>
          <rPr>
            <sz val="11"/>
            <color theme="1"/>
            <rFont val="Calibri"/>
            <family val="2"/>
            <scheme val="minor"/>
          </rPr>
          <t>Introduzca un codigo UNSPSC</t>
        </r>
      </text>
    </comment>
    <comment ref="B1611" authorId="2" shapeId="0">
      <text>
        <r>
          <rPr>
            <sz val="11"/>
            <color theme="1"/>
            <rFont val="Calibri"/>
            <family val="2"/>
            <scheme val="minor"/>
          </rPr>
          <t>Descripción calculada automáticamente a partir de código del artículo</t>
        </r>
      </text>
    </comment>
    <comment ref="C1611" authorId="2" shapeId="0">
      <text>
        <r>
          <rPr>
            <sz val="11"/>
            <color theme="1"/>
            <rFont val="Calibri"/>
            <family val="2"/>
            <scheme val="minor"/>
          </rPr>
          <t>Seleccione un valor de la lista</t>
        </r>
      </text>
    </comment>
    <comment ref="D1611" authorId="2" shapeId="0">
      <text>
        <r>
          <rPr>
            <sz val="11"/>
            <color theme="1"/>
            <rFont val="Calibri"/>
            <family val="2"/>
            <scheme val="minor"/>
          </rPr>
          <t>Introduzca un número con dos decimales como máximo. Debe ser igual o mayor a la "Cantidad Real Consumida"</t>
        </r>
      </text>
    </comment>
    <comment ref="E1611" authorId="2" shapeId="0">
      <text>
        <r>
          <rPr>
            <sz val="11"/>
            <color theme="1"/>
            <rFont val="Calibri"/>
            <family val="2"/>
            <scheme val="minor"/>
          </rPr>
          <t>Introduzca un número con dos decimales como máximo</t>
        </r>
      </text>
    </comment>
    <comment ref="F1611" authorId="2" shapeId="0">
      <text>
        <r>
          <rPr>
            <sz val="11"/>
            <color theme="1"/>
            <rFont val="Calibri"/>
            <family val="2"/>
            <scheme val="minor"/>
          </rPr>
          <t>Monto calculado automáticamente por el sistema</t>
        </r>
      </text>
    </comment>
    <comment ref="A1670" authorId="1" shapeId="0">
      <text>
        <r>
          <rPr>
            <sz val="11"/>
            <color theme="1"/>
            <rFont val="Calibri"/>
            <family val="2"/>
            <scheme val="minor"/>
          </rPr>
          <t>Introducir un texto con el nombre o referencia de la contratación</t>
        </r>
      </text>
    </comment>
    <comment ref="B1670" authorId="1" shapeId="0">
      <text>
        <r>
          <rPr>
            <sz val="11"/>
            <color theme="1"/>
            <rFont val="Calibri"/>
            <family val="2"/>
            <scheme val="minor"/>
          </rPr>
          <t>Introduzca un texto con la finalidad de la contratación</t>
        </r>
      </text>
    </comment>
    <comment ref="C1670" authorId="1" shapeId="0">
      <text>
        <r>
          <rPr>
            <sz val="11"/>
            <color theme="1"/>
            <rFont val="Calibri"/>
            <family val="2"/>
            <scheme val="minor"/>
          </rPr>
          <t>Seleccionar un valor del listado</t>
        </r>
      </text>
    </comment>
    <comment ref="D1670" authorId="1" shapeId="0">
      <text>
        <r>
          <rPr>
            <sz val="11"/>
            <color theme="1"/>
            <rFont val="Calibri"/>
            <family val="2"/>
            <scheme val="minor"/>
          </rPr>
          <t>Seleccione el tipo de procedimiento</t>
        </r>
      </text>
    </comment>
    <comment ref="E1670" authorId="1" shapeId="0">
      <text>
        <r>
          <rPr>
            <sz val="11"/>
            <color theme="1"/>
            <rFont val="Calibri"/>
            <family val="2"/>
            <scheme val="minor"/>
          </rPr>
          <t>Seleccione un valor de la lista</t>
        </r>
      </text>
    </comment>
    <comment ref="F1670" authorId="2" shapeId="0">
      <text>
        <r>
          <rPr>
            <sz val="11"/>
            <color theme="1"/>
            <rFont val="Calibri"/>
            <family val="2"/>
            <scheme val="minor"/>
          </rPr>
          <t>Introduzca el código SNIP</t>
        </r>
      </text>
    </comment>
    <comment ref="C1671" authorId="2" shapeId="0">
      <text>
        <r>
          <rPr>
            <sz val="11"/>
            <color theme="1"/>
            <rFont val="Calibri"/>
            <family val="2"/>
            <scheme val="minor"/>
          </rPr>
          <t>Introduzca la fecha de inicio del proceso, en formato dd-mm-aaaa</t>
        </r>
      </text>
    </comment>
    <comment ref="F16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2" shapeId="0">
      <text/>
    </comment>
    <comment ref="C1673" authorId="2" shapeId="0">
      <text>
        <r>
          <rPr>
            <sz val="11"/>
            <color theme="1"/>
            <rFont val="Calibri"/>
            <family val="2"/>
            <scheme val="minor"/>
          </rPr>
          <t>Introduzca la fecha prevista de adjudicación, en formato dd-mm-aaaa</t>
        </r>
      </text>
    </comment>
    <comment ref="F1673" authorId="2" shapeId="0">
      <text/>
    </comment>
    <comment ref="F1674" authorId="2" shapeId="0">
      <text/>
    </comment>
    <comment ref="A1676" authorId="2" shapeId="0">
      <text>
        <r>
          <rPr>
            <sz val="11"/>
            <color theme="1"/>
            <rFont val="Calibri"/>
            <family val="2"/>
            <scheme val="minor"/>
          </rPr>
          <t>Introduzca un codigo UNSPSC</t>
        </r>
      </text>
    </comment>
    <comment ref="B1676" authorId="2" shapeId="0">
      <text>
        <r>
          <rPr>
            <sz val="11"/>
            <color theme="1"/>
            <rFont val="Calibri"/>
            <family val="2"/>
            <scheme val="minor"/>
          </rPr>
          <t>Descripción calculada automáticamente a partir de código del artículo</t>
        </r>
      </text>
    </comment>
    <comment ref="C1676" authorId="2" shapeId="0">
      <text>
        <r>
          <rPr>
            <sz val="11"/>
            <color theme="1"/>
            <rFont val="Calibri"/>
            <family val="2"/>
            <scheme val="minor"/>
          </rPr>
          <t>Seleccione un valor de la lista</t>
        </r>
      </text>
    </comment>
    <comment ref="D1676" authorId="2" shapeId="0">
      <text>
        <r>
          <rPr>
            <sz val="11"/>
            <color theme="1"/>
            <rFont val="Calibri"/>
            <family val="2"/>
            <scheme val="minor"/>
          </rPr>
          <t>Introduzca un número con dos decimales como máximo. Debe ser igual o mayor a la "Cantidad Real Consumida"</t>
        </r>
      </text>
    </comment>
    <comment ref="E1676" authorId="2" shapeId="0">
      <text>
        <r>
          <rPr>
            <sz val="11"/>
            <color theme="1"/>
            <rFont val="Calibri"/>
            <family val="2"/>
            <scheme val="minor"/>
          </rPr>
          <t>Introduzca un número con dos decimales como máximo</t>
        </r>
      </text>
    </comment>
    <comment ref="F1676" authorId="2" shapeId="0">
      <text>
        <r>
          <rPr>
            <sz val="11"/>
            <color theme="1"/>
            <rFont val="Calibri"/>
            <family val="2"/>
            <scheme val="minor"/>
          </rPr>
          <t>Monto calculado automáticamente por el sistema</t>
        </r>
      </text>
    </comment>
    <comment ref="A1684" authorId="1" shapeId="0">
      <text>
        <r>
          <rPr>
            <sz val="11"/>
            <color theme="1"/>
            <rFont val="Calibri"/>
            <family val="2"/>
            <scheme val="minor"/>
          </rPr>
          <t>Introducir un texto con el nombre o referencia de la contratación</t>
        </r>
      </text>
    </comment>
    <comment ref="B1684" authorId="1" shapeId="0">
      <text>
        <r>
          <rPr>
            <sz val="11"/>
            <color theme="1"/>
            <rFont val="Calibri"/>
            <family val="2"/>
            <scheme val="minor"/>
          </rPr>
          <t>Introduzca un texto con la finalidad de la contratación</t>
        </r>
      </text>
    </comment>
    <comment ref="C1684" authorId="1" shapeId="0">
      <text>
        <r>
          <rPr>
            <sz val="11"/>
            <color theme="1"/>
            <rFont val="Calibri"/>
            <family val="2"/>
            <scheme val="minor"/>
          </rPr>
          <t>Seleccionar un valor del listado</t>
        </r>
      </text>
    </comment>
    <comment ref="D1684" authorId="1" shapeId="0">
      <text>
        <r>
          <rPr>
            <sz val="11"/>
            <color theme="1"/>
            <rFont val="Calibri"/>
            <family val="2"/>
            <scheme val="minor"/>
          </rPr>
          <t>Seleccione el tipo de procedimiento</t>
        </r>
      </text>
    </comment>
    <comment ref="E1684" authorId="1" shapeId="0">
      <text>
        <r>
          <rPr>
            <sz val="11"/>
            <color theme="1"/>
            <rFont val="Calibri"/>
            <family val="2"/>
            <scheme val="minor"/>
          </rPr>
          <t>Seleccione un valor de la lista</t>
        </r>
      </text>
    </comment>
    <comment ref="F1684" authorId="2" shapeId="0">
      <text>
        <r>
          <rPr>
            <sz val="11"/>
            <color theme="1"/>
            <rFont val="Calibri"/>
            <family val="2"/>
            <scheme val="minor"/>
          </rPr>
          <t>Introduzca el código SNIP</t>
        </r>
      </text>
    </comment>
    <comment ref="C1685" authorId="2" shapeId="0">
      <text>
        <r>
          <rPr>
            <sz val="11"/>
            <color theme="1"/>
            <rFont val="Calibri"/>
            <family val="2"/>
            <scheme val="minor"/>
          </rPr>
          <t>Introduzca la fecha de inicio del proceso, en formato dd-mm-aaaa</t>
        </r>
      </text>
    </comment>
    <comment ref="F16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2" shapeId="0">
      <text/>
    </comment>
    <comment ref="C1687" authorId="2" shapeId="0">
      <text>
        <r>
          <rPr>
            <sz val="11"/>
            <color theme="1"/>
            <rFont val="Calibri"/>
            <family val="2"/>
            <scheme val="minor"/>
          </rPr>
          <t>Introduzca la fecha prevista de adjudicación, en formato dd-mm-aaaa</t>
        </r>
      </text>
    </comment>
    <comment ref="F1687" authorId="2" shapeId="0">
      <text/>
    </comment>
    <comment ref="F1688" authorId="2" shapeId="0">
      <text/>
    </comment>
    <comment ref="A1690" authorId="2" shapeId="0">
      <text>
        <r>
          <rPr>
            <sz val="11"/>
            <color theme="1"/>
            <rFont val="Calibri"/>
            <family val="2"/>
            <scheme val="minor"/>
          </rPr>
          <t>Introduzca un codigo UNSPSC</t>
        </r>
      </text>
    </comment>
    <comment ref="B1690" authorId="2" shapeId="0">
      <text>
        <r>
          <rPr>
            <sz val="11"/>
            <color theme="1"/>
            <rFont val="Calibri"/>
            <family val="2"/>
            <scheme val="minor"/>
          </rPr>
          <t>Descripción calculada automáticamente a partir de código del artículo</t>
        </r>
      </text>
    </comment>
    <comment ref="C1690" authorId="2" shapeId="0">
      <text>
        <r>
          <rPr>
            <sz val="11"/>
            <color theme="1"/>
            <rFont val="Calibri"/>
            <family val="2"/>
            <scheme val="minor"/>
          </rPr>
          <t>Seleccione un valor de la lista</t>
        </r>
      </text>
    </comment>
    <comment ref="D1690" authorId="2" shapeId="0">
      <text>
        <r>
          <rPr>
            <sz val="11"/>
            <color theme="1"/>
            <rFont val="Calibri"/>
            <family val="2"/>
            <scheme val="minor"/>
          </rPr>
          <t>Introduzca un número con dos decimales como máximo. Debe ser igual o mayor a la "Cantidad Real Consumida"</t>
        </r>
      </text>
    </comment>
    <comment ref="E1690" authorId="2" shapeId="0">
      <text>
        <r>
          <rPr>
            <sz val="11"/>
            <color theme="1"/>
            <rFont val="Calibri"/>
            <family val="2"/>
            <scheme val="minor"/>
          </rPr>
          <t>Introduzca un número con dos decimales como máximo</t>
        </r>
      </text>
    </comment>
    <comment ref="F1690" authorId="2" shapeId="0">
      <text>
        <r>
          <rPr>
            <sz val="11"/>
            <color theme="1"/>
            <rFont val="Calibri"/>
            <family val="2"/>
            <scheme val="minor"/>
          </rPr>
          <t>Monto calculado automáticamente por el sistema</t>
        </r>
      </text>
    </comment>
    <comment ref="A1705" authorId="1" shapeId="0">
      <text>
        <r>
          <rPr>
            <sz val="11"/>
            <color theme="1"/>
            <rFont val="Calibri"/>
            <family val="2"/>
            <scheme val="minor"/>
          </rPr>
          <t>Introducir un texto con el nombre o referencia de la contratación</t>
        </r>
      </text>
    </comment>
    <comment ref="B1705" authorId="1" shapeId="0">
      <text>
        <r>
          <rPr>
            <sz val="11"/>
            <color theme="1"/>
            <rFont val="Calibri"/>
            <family val="2"/>
            <scheme val="minor"/>
          </rPr>
          <t>Introduzca un texto con la finalidad de la contratación</t>
        </r>
      </text>
    </comment>
    <comment ref="C1705" authorId="1" shapeId="0">
      <text>
        <r>
          <rPr>
            <sz val="11"/>
            <color theme="1"/>
            <rFont val="Calibri"/>
            <family val="2"/>
            <scheme val="minor"/>
          </rPr>
          <t>Seleccionar un valor del listado</t>
        </r>
      </text>
    </comment>
    <comment ref="D1705" authorId="1" shapeId="0">
      <text>
        <r>
          <rPr>
            <sz val="11"/>
            <color theme="1"/>
            <rFont val="Calibri"/>
            <family val="2"/>
            <scheme val="minor"/>
          </rPr>
          <t>Seleccione el tipo de procedimiento</t>
        </r>
      </text>
    </comment>
    <comment ref="E1705" authorId="1" shapeId="0">
      <text>
        <r>
          <rPr>
            <sz val="11"/>
            <color theme="1"/>
            <rFont val="Calibri"/>
            <family val="2"/>
            <scheme val="minor"/>
          </rPr>
          <t>Seleccione un valor de la lista</t>
        </r>
      </text>
    </comment>
    <comment ref="F1705" authorId="2" shapeId="0">
      <text>
        <r>
          <rPr>
            <sz val="11"/>
            <color theme="1"/>
            <rFont val="Calibri"/>
            <family val="2"/>
            <scheme val="minor"/>
          </rPr>
          <t>Introduzca el código SNIP</t>
        </r>
      </text>
    </comment>
    <comment ref="C1706" authorId="2" shapeId="0">
      <text>
        <r>
          <rPr>
            <sz val="11"/>
            <color theme="1"/>
            <rFont val="Calibri"/>
            <family val="2"/>
            <scheme val="minor"/>
          </rPr>
          <t>Introduzca la fecha de inicio del proceso, en formato dd-mm-aaaa</t>
        </r>
      </text>
    </comment>
    <comment ref="F17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text/>
    </comment>
    <comment ref="C1708" authorId="2" shapeId="0">
      <text>
        <r>
          <rPr>
            <sz val="11"/>
            <color theme="1"/>
            <rFont val="Calibri"/>
            <family val="2"/>
            <scheme val="minor"/>
          </rPr>
          <t>Introduzca la fecha prevista de adjudicación, en formato dd-mm-aaaa</t>
        </r>
      </text>
    </comment>
    <comment ref="F1708" authorId="2" shapeId="0">
      <text/>
    </comment>
    <comment ref="F1709" authorId="2" shapeId="0">
      <text/>
    </comment>
    <comment ref="A1711" authorId="2" shapeId="0">
      <text>
        <r>
          <rPr>
            <sz val="11"/>
            <color theme="1"/>
            <rFont val="Calibri"/>
            <family val="2"/>
            <scheme val="minor"/>
          </rPr>
          <t>Introduzca un codigo UNSPSC</t>
        </r>
      </text>
    </comment>
    <comment ref="B1711" authorId="2" shapeId="0">
      <text>
        <r>
          <rPr>
            <sz val="11"/>
            <color theme="1"/>
            <rFont val="Calibri"/>
            <family val="2"/>
            <scheme val="minor"/>
          </rPr>
          <t>Descripción calculada automáticamente a partir de código del artículo</t>
        </r>
      </text>
    </comment>
    <comment ref="C1711" authorId="2" shapeId="0">
      <text>
        <r>
          <rPr>
            <sz val="11"/>
            <color theme="1"/>
            <rFont val="Calibri"/>
            <family val="2"/>
            <scheme val="minor"/>
          </rPr>
          <t>Seleccione un valor de la lista</t>
        </r>
      </text>
    </comment>
    <comment ref="D1711" authorId="2" shapeId="0">
      <text>
        <r>
          <rPr>
            <sz val="11"/>
            <color theme="1"/>
            <rFont val="Calibri"/>
            <family val="2"/>
            <scheme val="minor"/>
          </rPr>
          <t>Introduzca un número con dos decimales como máximo. Debe ser igual o mayor a la "Cantidad Real Consumida"</t>
        </r>
      </text>
    </comment>
    <comment ref="E1711" authorId="2" shapeId="0">
      <text>
        <r>
          <rPr>
            <sz val="11"/>
            <color theme="1"/>
            <rFont val="Calibri"/>
            <family val="2"/>
            <scheme val="minor"/>
          </rPr>
          <t>Introduzca un número con dos decimales como máximo</t>
        </r>
      </text>
    </comment>
    <comment ref="F1711" authorId="2" shapeId="0">
      <text>
        <r>
          <rPr>
            <sz val="11"/>
            <color theme="1"/>
            <rFont val="Calibri"/>
            <family val="2"/>
            <scheme val="minor"/>
          </rPr>
          <t>Monto calculado automáticamente por el sistema</t>
        </r>
      </text>
    </comment>
    <comment ref="A1717" authorId="1" shapeId="0">
      <text>
        <r>
          <rPr>
            <sz val="11"/>
            <color theme="1"/>
            <rFont val="Calibri"/>
            <family val="2"/>
            <scheme val="minor"/>
          </rPr>
          <t>Introducir un texto con el nombre o referencia de la contratación</t>
        </r>
      </text>
    </comment>
    <comment ref="B1717" authorId="1" shapeId="0">
      <text>
        <r>
          <rPr>
            <sz val="11"/>
            <color theme="1"/>
            <rFont val="Calibri"/>
            <family val="2"/>
            <scheme val="minor"/>
          </rPr>
          <t>Introduzca un texto con la finalidad de la contratación</t>
        </r>
      </text>
    </comment>
    <comment ref="C1717" authorId="1" shapeId="0">
      <text>
        <r>
          <rPr>
            <sz val="11"/>
            <color theme="1"/>
            <rFont val="Calibri"/>
            <family val="2"/>
            <scheme val="minor"/>
          </rPr>
          <t>Seleccionar un valor del listado</t>
        </r>
      </text>
    </comment>
    <comment ref="D1717" authorId="1" shapeId="0">
      <text>
        <r>
          <rPr>
            <sz val="11"/>
            <color theme="1"/>
            <rFont val="Calibri"/>
            <family val="2"/>
            <scheme val="minor"/>
          </rPr>
          <t>Seleccione el tipo de procedimiento</t>
        </r>
      </text>
    </comment>
    <comment ref="E1717" authorId="1" shapeId="0">
      <text>
        <r>
          <rPr>
            <sz val="11"/>
            <color theme="1"/>
            <rFont val="Calibri"/>
            <family val="2"/>
            <scheme val="minor"/>
          </rPr>
          <t>Seleccione un valor de la lista</t>
        </r>
      </text>
    </comment>
    <comment ref="F1717" authorId="2" shapeId="0">
      <text>
        <r>
          <rPr>
            <sz val="11"/>
            <color theme="1"/>
            <rFont val="Calibri"/>
            <family val="2"/>
            <scheme val="minor"/>
          </rPr>
          <t>Introduzca el código SNIP</t>
        </r>
      </text>
    </comment>
    <comment ref="C1718" authorId="2" shapeId="0">
      <text>
        <r>
          <rPr>
            <sz val="11"/>
            <color theme="1"/>
            <rFont val="Calibri"/>
            <family val="2"/>
            <scheme val="minor"/>
          </rPr>
          <t>Introduzca la fecha de inicio del proceso, en formato dd-mm-aaaa</t>
        </r>
      </text>
    </comment>
    <comment ref="F17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2" shapeId="0">
      <text/>
    </comment>
    <comment ref="C1720" authorId="2" shapeId="0">
      <text>
        <r>
          <rPr>
            <sz val="11"/>
            <color theme="1"/>
            <rFont val="Calibri"/>
            <family val="2"/>
            <scheme val="minor"/>
          </rPr>
          <t>Introduzca la fecha prevista de adjudicación, en formato dd-mm-aaaa</t>
        </r>
      </text>
    </comment>
    <comment ref="F1720" authorId="2" shapeId="0">
      <text/>
    </comment>
    <comment ref="F1721" authorId="2" shapeId="0">
      <text/>
    </comment>
    <comment ref="A1723" authorId="2" shapeId="0">
      <text>
        <r>
          <rPr>
            <sz val="11"/>
            <color theme="1"/>
            <rFont val="Calibri"/>
            <family val="2"/>
            <scheme val="minor"/>
          </rPr>
          <t>Introduzca un codigo UNSPSC</t>
        </r>
      </text>
    </comment>
    <comment ref="B1723" authorId="2" shapeId="0">
      <text>
        <r>
          <rPr>
            <sz val="11"/>
            <color theme="1"/>
            <rFont val="Calibri"/>
            <family val="2"/>
            <scheme val="minor"/>
          </rPr>
          <t>Descripción calculada automáticamente a partir de código del artículo</t>
        </r>
      </text>
    </comment>
    <comment ref="C1723" authorId="2" shapeId="0">
      <text>
        <r>
          <rPr>
            <sz val="11"/>
            <color theme="1"/>
            <rFont val="Calibri"/>
            <family val="2"/>
            <scheme val="minor"/>
          </rPr>
          <t>Seleccione un valor de la lista</t>
        </r>
      </text>
    </comment>
    <comment ref="D1723" authorId="2" shapeId="0">
      <text>
        <r>
          <rPr>
            <sz val="11"/>
            <color theme="1"/>
            <rFont val="Calibri"/>
            <family val="2"/>
            <scheme val="minor"/>
          </rPr>
          <t>Introduzca un número con dos decimales como máximo. Debe ser igual o mayor a la "Cantidad Real Consumida"</t>
        </r>
      </text>
    </comment>
    <comment ref="E1723" authorId="2" shapeId="0">
      <text>
        <r>
          <rPr>
            <sz val="11"/>
            <color theme="1"/>
            <rFont val="Calibri"/>
            <family val="2"/>
            <scheme val="minor"/>
          </rPr>
          <t>Introduzca un número con dos decimales como máximo</t>
        </r>
      </text>
    </comment>
    <comment ref="F1723" authorId="2" shapeId="0">
      <text>
        <r>
          <rPr>
            <sz val="11"/>
            <color theme="1"/>
            <rFont val="Calibri"/>
            <family val="2"/>
            <scheme val="minor"/>
          </rPr>
          <t>Monto calculado automáticamente por el sistema</t>
        </r>
      </text>
    </comment>
    <comment ref="A1746" authorId="1" shapeId="0">
      <text>
        <r>
          <rPr>
            <sz val="11"/>
            <color theme="1"/>
            <rFont val="Calibri"/>
            <family val="2"/>
            <scheme val="minor"/>
          </rPr>
          <t>Introducir un texto con el nombre o referencia de la contratación</t>
        </r>
      </text>
    </comment>
    <comment ref="B1746" authorId="1" shapeId="0">
      <text>
        <r>
          <rPr>
            <sz val="11"/>
            <color theme="1"/>
            <rFont val="Calibri"/>
            <family val="2"/>
            <scheme val="minor"/>
          </rPr>
          <t>Introduzca un texto con la finalidad de la contratación</t>
        </r>
      </text>
    </comment>
    <comment ref="C1746" authorId="1" shapeId="0">
      <text>
        <r>
          <rPr>
            <sz val="11"/>
            <color theme="1"/>
            <rFont val="Calibri"/>
            <family val="2"/>
            <scheme val="minor"/>
          </rPr>
          <t>Seleccionar un valor del listado</t>
        </r>
      </text>
    </comment>
    <comment ref="D1746" authorId="1" shapeId="0">
      <text>
        <r>
          <rPr>
            <sz val="11"/>
            <color theme="1"/>
            <rFont val="Calibri"/>
            <family val="2"/>
            <scheme val="minor"/>
          </rPr>
          <t>Seleccione el tipo de procedimiento</t>
        </r>
      </text>
    </comment>
    <comment ref="E1746" authorId="1" shapeId="0">
      <text>
        <r>
          <rPr>
            <sz val="11"/>
            <color theme="1"/>
            <rFont val="Calibri"/>
            <family val="2"/>
            <scheme val="minor"/>
          </rPr>
          <t>Seleccione un valor de la lista</t>
        </r>
      </text>
    </comment>
    <comment ref="F1746" authorId="2" shapeId="0">
      <text>
        <r>
          <rPr>
            <sz val="11"/>
            <color theme="1"/>
            <rFont val="Calibri"/>
            <family val="2"/>
            <scheme val="minor"/>
          </rPr>
          <t>Introduzca el código SNIP</t>
        </r>
      </text>
    </comment>
    <comment ref="C1747" authorId="2" shapeId="0">
      <text>
        <r>
          <rPr>
            <sz val="11"/>
            <color theme="1"/>
            <rFont val="Calibri"/>
            <family val="2"/>
            <scheme val="minor"/>
          </rPr>
          <t>Introduzca la fecha de inicio del proceso, en formato dd-mm-aaaa</t>
        </r>
      </text>
    </comment>
    <comment ref="F17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2" shapeId="0">
      <text/>
    </comment>
    <comment ref="C1749" authorId="2" shapeId="0">
      <text>
        <r>
          <rPr>
            <sz val="11"/>
            <color theme="1"/>
            <rFont val="Calibri"/>
            <family val="2"/>
            <scheme val="minor"/>
          </rPr>
          <t>Introduzca la fecha prevista de adjudicación, en formato dd-mm-aaaa</t>
        </r>
      </text>
    </comment>
    <comment ref="F1749" authorId="2" shapeId="0">
      <text/>
    </comment>
    <comment ref="F1750" authorId="2" shapeId="0">
      <text/>
    </comment>
    <comment ref="A1752" authorId="2" shapeId="0">
      <text>
        <r>
          <rPr>
            <sz val="11"/>
            <color theme="1"/>
            <rFont val="Calibri"/>
            <family val="2"/>
            <scheme val="minor"/>
          </rPr>
          <t>Introduzca un codigo UNSPSC</t>
        </r>
      </text>
    </comment>
    <comment ref="B1752" authorId="2" shapeId="0">
      <text>
        <r>
          <rPr>
            <sz val="11"/>
            <color theme="1"/>
            <rFont val="Calibri"/>
            <family val="2"/>
            <scheme val="minor"/>
          </rPr>
          <t>Descripción calculada automáticamente a partir de código del artículo</t>
        </r>
      </text>
    </comment>
    <comment ref="C1752" authorId="2" shapeId="0">
      <text>
        <r>
          <rPr>
            <sz val="11"/>
            <color theme="1"/>
            <rFont val="Calibri"/>
            <family val="2"/>
            <scheme val="minor"/>
          </rPr>
          <t>Seleccione un valor de la lista</t>
        </r>
      </text>
    </comment>
    <comment ref="D1752" authorId="2" shapeId="0">
      <text>
        <r>
          <rPr>
            <sz val="11"/>
            <color theme="1"/>
            <rFont val="Calibri"/>
            <family val="2"/>
            <scheme val="minor"/>
          </rPr>
          <t>Introduzca un número con dos decimales como máximo. Debe ser igual o mayor a la "Cantidad Real Consumida"</t>
        </r>
      </text>
    </comment>
    <comment ref="E1752" authorId="2" shapeId="0">
      <text>
        <r>
          <rPr>
            <sz val="11"/>
            <color theme="1"/>
            <rFont val="Calibri"/>
            <family val="2"/>
            <scheme val="minor"/>
          </rPr>
          <t>Introduzca un número con dos decimales como máximo</t>
        </r>
      </text>
    </comment>
    <comment ref="F1752" authorId="2" shapeId="0">
      <text>
        <r>
          <rPr>
            <sz val="11"/>
            <color theme="1"/>
            <rFont val="Calibri"/>
            <family val="2"/>
            <scheme val="minor"/>
          </rPr>
          <t>Monto calculado automáticamente por el sistema</t>
        </r>
      </text>
    </comment>
    <comment ref="A1782" authorId="1" shapeId="0">
      <text>
        <r>
          <rPr>
            <sz val="11"/>
            <color theme="1"/>
            <rFont val="Calibri"/>
            <family val="2"/>
            <scheme val="minor"/>
          </rPr>
          <t>Introducir un texto con el nombre o referencia de la contratación</t>
        </r>
      </text>
    </comment>
    <comment ref="B1782" authorId="1" shapeId="0">
      <text>
        <r>
          <rPr>
            <sz val="11"/>
            <color theme="1"/>
            <rFont val="Calibri"/>
            <family val="2"/>
            <scheme val="minor"/>
          </rPr>
          <t>Introduzca un texto con la finalidad de la contratación</t>
        </r>
      </text>
    </comment>
    <comment ref="C1782" authorId="1" shapeId="0">
      <text>
        <r>
          <rPr>
            <sz val="11"/>
            <color theme="1"/>
            <rFont val="Calibri"/>
            <family val="2"/>
            <scheme val="minor"/>
          </rPr>
          <t>Seleccionar un valor del listado</t>
        </r>
      </text>
    </comment>
    <comment ref="D1782" authorId="1" shapeId="0">
      <text>
        <r>
          <rPr>
            <sz val="11"/>
            <color theme="1"/>
            <rFont val="Calibri"/>
            <family val="2"/>
            <scheme val="minor"/>
          </rPr>
          <t>Seleccione el tipo de procedimiento</t>
        </r>
      </text>
    </comment>
    <comment ref="E1782" authorId="1" shapeId="0">
      <text>
        <r>
          <rPr>
            <sz val="11"/>
            <color theme="1"/>
            <rFont val="Calibri"/>
            <family val="2"/>
            <scheme val="minor"/>
          </rPr>
          <t>Seleccione un valor de la lista</t>
        </r>
      </text>
    </comment>
    <comment ref="F1782" authorId="2" shapeId="0">
      <text>
        <r>
          <rPr>
            <sz val="11"/>
            <color theme="1"/>
            <rFont val="Calibri"/>
            <family val="2"/>
            <scheme val="minor"/>
          </rPr>
          <t>Introduzca el código SNIP</t>
        </r>
      </text>
    </comment>
    <comment ref="C1783" authorId="2" shapeId="0">
      <text>
        <r>
          <rPr>
            <sz val="11"/>
            <color theme="1"/>
            <rFont val="Calibri"/>
            <family val="2"/>
            <scheme val="minor"/>
          </rPr>
          <t>Introduzca la fecha de inicio del proceso, en formato dd-mm-aaaa</t>
        </r>
      </text>
    </comment>
    <comment ref="F17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4" authorId="2" shapeId="0">
      <text/>
    </comment>
    <comment ref="C1785" authorId="2" shapeId="0">
      <text>
        <r>
          <rPr>
            <sz val="11"/>
            <color theme="1"/>
            <rFont val="Calibri"/>
            <family val="2"/>
            <scheme val="minor"/>
          </rPr>
          <t>Introduzca la fecha prevista de adjudicación, en formato dd-mm-aaaa</t>
        </r>
      </text>
    </comment>
    <comment ref="F1785" authorId="2" shapeId="0">
      <text/>
    </comment>
    <comment ref="F1786" authorId="2" shapeId="0">
      <text/>
    </comment>
    <comment ref="A1788" authorId="2" shapeId="0">
      <text>
        <r>
          <rPr>
            <sz val="11"/>
            <color theme="1"/>
            <rFont val="Calibri"/>
            <family val="2"/>
            <scheme val="minor"/>
          </rPr>
          <t>Introduzca un codigo UNSPSC</t>
        </r>
      </text>
    </comment>
    <comment ref="B1788" authorId="2" shapeId="0">
      <text>
        <r>
          <rPr>
            <sz val="11"/>
            <color theme="1"/>
            <rFont val="Calibri"/>
            <family val="2"/>
            <scheme val="minor"/>
          </rPr>
          <t>Descripción calculada automáticamente a partir de código del artículo</t>
        </r>
      </text>
    </comment>
    <comment ref="C1788" authorId="2" shapeId="0">
      <text>
        <r>
          <rPr>
            <sz val="11"/>
            <color theme="1"/>
            <rFont val="Calibri"/>
            <family val="2"/>
            <scheme val="minor"/>
          </rPr>
          <t>Seleccione un valor de la lista</t>
        </r>
      </text>
    </comment>
    <comment ref="D1788" authorId="2" shapeId="0">
      <text>
        <r>
          <rPr>
            <sz val="11"/>
            <color theme="1"/>
            <rFont val="Calibri"/>
            <family val="2"/>
            <scheme val="minor"/>
          </rPr>
          <t>Introduzca un número con dos decimales como máximo. Debe ser igual o mayor a la "Cantidad Real Consumida"</t>
        </r>
      </text>
    </comment>
    <comment ref="E1788" authorId="2" shapeId="0">
      <text>
        <r>
          <rPr>
            <sz val="11"/>
            <color theme="1"/>
            <rFont val="Calibri"/>
            <family val="2"/>
            <scheme val="minor"/>
          </rPr>
          <t>Introduzca un número con dos decimales como máximo</t>
        </r>
      </text>
    </comment>
    <comment ref="F1788" authorId="2" shapeId="0">
      <text>
        <r>
          <rPr>
            <sz val="11"/>
            <color theme="1"/>
            <rFont val="Calibri"/>
            <family val="2"/>
            <scheme val="minor"/>
          </rPr>
          <t>Monto calculado automáticamente por el sistema</t>
        </r>
      </text>
    </comment>
    <comment ref="A1797" authorId="1" shapeId="0">
      <text>
        <r>
          <rPr>
            <sz val="11"/>
            <color theme="1"/>
            <rFont val="Calibri"/>
            <family val="2"/>
            <scheme val="minor"/>
          </rPr>
          <t>Introducir un texto con el nombre o referencia de la contratación</t>
        </r>
      </text>
    </comment>
    <comment ref="B1797" authorId="1" shapeId="0">
      <text>
        <r>
          <rPr>
            <sz val="11"/>
            <color theme="1"/>
            <rFont val="Calibri"/>
            <family val="2"/>
            <scheme val="minor"/>
          </rPr>
          <t>Introduzca un texto con la finalidad de la contratación</t>
        </r>
      </text>
    </comment>
    <comment ref="C1797" authorId="1" shapeId="0">
      <text>
        <r>
          <rPr>
            <sz val="11"/>
            <color theme="1"/>
            <rFont val="Calibri"/>
            <family val="2"/>
            <scheme val="minor"/>
          </rPr>
          <t>Seleccionar un valor del listado</t>
        </r>
      </text>
    </comment>
    <comment ref="D1797" authorId="1" shapeId="0">
      <text>
        <r>
          <rPr>
            <sz val="11"/>
            <color theme="1"/>
            <rFont val="Calibri"/>
            <family val="2"/>
            <scheme val="minor"/>
          </rPr>
          <t>Seleccione el tipo de procedimiento</t>
        </r>
      </text>
    </comment>
    <comment ref="E1797" authorId="1" shapeId="0">
      <text>
        <r>
          <rPr>
            <sz val="11"/>
            <color theme="1"/>
            <rFont val="Calibri"/>
            <family val="2"/>
            <scheme val="minor"/>
          </rPr>
          <t>Seleccione un valor de la lista</t>
        </r>
      </text>
    </comment>
    <comment ref="F1797" authorId="2" shapeId="0">
      <text>
        <r>
          <rPr>
            <sz val="11"/>
            <color theme="1"/>
            <rFont val="Calibri"/>
            <family val="2"/>
            <scheme val="minor"/>
          </rPr>
          <t>Introduzca el código SNIP</t>
        </r>
      </text>
    </comment>
    <comment ref="C1798" authorId="2" shapeId="0">
      <text>
        <r>
          <rPr>
            <sz val="11"/>
            <color theme="1"/>
            <rFont val="Calibri"/>
            <family val="2"/>
            <scheme val="minor"/>
          </rPr>
          <t>Introduzca la fecha de inicio del proceso, en formato dd-mm-aaaa</t>
        </r>
      </text>
    </comment>
    <comment ref="F17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2" shapeId="0">
      <text/>
    </comment>
    <comment ref="C1800" authorId="2" shapeId="0">
      <text>
        <r>
          <rPr>
            <sz val="11"/>
            <color theme="1"/>
            <rFont val="Calibri"/>
            <family val="2"/>
            <scheme val="minor"/>
          </rPr>
          <t>Introduzca la fecha prevista de adjudicación, en formato dd-mm-aaaa</t>
        </r>
      </text>
    </comment>
    <comment ref="F1800" authorId="2" shapeId="0">
      <text/>
    </comment>
    <comment ref="F1801" authorId="2" shapeId="0">
      <text/>
    </comment>
    <comment ref="A1803" authorId="2" shapeId="0">
      <text>
        <r>
          <rPr>
            <sz val="11"/>
            <color theme="1"/>
            <rFont val="Calibri"/>
            <family val="2"/>
            <scheme val="minor"/>
          </rPr>
          <t>Introduzca un codigo UNSPSC</t>
        </r>
      </text>
    </comment>
    <comment ref="B1803" authorId="2" shapeId="0">
      <text>
        <r>
          <rPr>
            <sz val="11"/>
            <color theme="1"/>
            <rFont val="Calibri"/>
            <family val="2"/>
            <scheme val="minor"/>
          </rPr>
          <t>Descripción calculada automáticamente a partir de código del artículo</t>
        </r>
      </text>
    </comment>
    <comment ref="C1803" authorId="2" shapeId="0">
      <text>
        <r>
          <rPr>
            <sz val="11"/>
            <color theme="1"/>
            <rFont val="Calibri"/>
            <family val="2"/>
            <scheme val="minor"/>
          </rPr>
          <t>Seleccione un valor de la lista</t>
        </r>
      </text>
    </comment>
    <comment ref="D1803" authorId="2" shapeId="0">
      <text>
        <r>
          <rPr>
            <sz val="11"/>
            <color theme="1"/>
            <rFont val="Calibri"/>
            <family val="2"/>
            <scheme val="minor"/>
          </rPr>
          <t>Introduzca un número con dos decimales como máximo. Debe ser igual o mayor a la "Cantidad Real Consumida"</t>
        </r>
      </text>
    </comment>
    <comment ref="E1803" authorId="2" shapeId="0">
      <text>
        <r>
          <rPr>
            <sz val="11"/>
            <color theme="1"/>
            <rFont val="Calibri"/>
            <family val="2"/>
            <scheme val="minor"/>
          </rPr>
          <t>Introduzca un número con dos decimales como máximo</t>
        </r>
      </text>
    </comment>
    <comment ref="F1803" authorId="2" shapeId="0">
      <text>
        <r>
          <rPr>
            <sz val="11"/>
            <color theme="1"/>
            <rFont val="Calibri"/>
            <family val="2"/>
            <scheme val="minor"/>
          </rPr>
          <t>Monto calculado automáticamente por el sistema</t>
        </r>
      </text>
    </comment>
    <comment ref="A1813" authorId="2" shapeId="0">
      <text>
        <r>
          <rPr>
            <sz val="11"/>
            <color theme="1"/>
            <rFont val="Calibri"/>
            <family val="2"/>
            <scheme val="minor"/>
          </rPr>
          <t>Introducir un texto con el nombre o referencia de la contratación</t>
        </r>
      </text>
    </comment>
    <comment ref="B1813" authorId="2" shapeId="0">
      <text>
        <r>
          <rPr>
            <sz val="11"/>
            <color theme="1"/>
            <rFont val="Calibri"/>
            <family val="2"/>
            <scheme val="minor"/>
          </rPr>
          <t>Introduzca un texto con la finalidad de la contratación</t>
        </r>
      </text>
    </comment>
    <comment ref="C1813" authorId="2" shapeId="0">
      <text>
        <r>
          <rPr>
            <sz val="11"/>
            <color theme="1"/>
            <rFont val="Calibri"/>
            <family val="2"/>
            <scheme val="minor"/>
          </rPr>
          <t>Seleccionar un valor del listado</t>
        </r>
      </text>
    </comment>
    <comment ref="D1813" authorId="2" shapeId="0">
      <text>
        <r>
          <rPr>
            <sz val="11"/>
            <color theme="1"/>
            <rFont val="Calibri"/>
            <family val="2"/>
            <scheme val="minor"/>
          </rPr>
          <t>Seleccione el tipo de procedimiento</t>
        </r>
      </text>
    </comment>
    <comment ref="E1813" authorId="2" shapeId="0">
      <text>
        <r>
          <rPr>
            <sz val="11"/>
            <color theme="1"/>
            <rFont val="Calibri"/>
            <family val="2"/>
            <scheme val="minor"/>
          </rPr>
          <t>Seleccione un valor de la lista</t>
        </r>
      </text>
    </comment>
    <comment ref="F1813" authorId="2" shapeId="0">
      <text>
        <r>
          <rPr>
            <sz val="11"/>
            <color theme="1"/>
            <rFont val="Calibri"/>
            <family val="2"/>
            <scheme val="minor"/>
          </rPr>
          <t>Introduzca el código SNIP</t>
        </r>
      </text>
    </comment>
    <comment ref="C1814" authorId="2" shapeId="0">
      <text>
        <r>
          <rPr>
            <sz val="11"/>
            <color theme="1"/>
            <rFont val="Calibri"/>
            <family val="2"/>
            <scheme val="minor"/>
          </rPr>
          <t>Introduzca la fecha de inicio del proceso, en formato dd-mm-aaaa</t>
        </r>
      </text>
    </comment>
    <comment ref="F18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2" shapeId="0">
      <text/>
    </comment>
    <comment ref="C1816" authorId="2" shapeId="0">
      <text>
        <r>
          <rPr>
            <sz val="11"/>
            <color theme="1"/>
            <rFont val="Calibri"/>
            <family val="2"/>
            <scheme val="minor"/>
          </rPr>
          <t>Introduzca la fecha prevista de adjudicación, en formato dd-mm-aaaa</t>
        </r>
      </text>
    </comment>
    <comment ref="F1816" authorId="2" shapeId="0">
      <text/>
    </comment>
    <comment ref="F1817" authorId="2" shapeId="0">
      <text/>
    </comment>
    <comment ref="A1819" authorId="2" shapeId="0">
      <text>
        <r>
          <rPr>
            <sz val="11"/>
            <color theme="1"/>
            <rFont val="Calibri"/>
            <family val="2"/>
            <scheme val="minor"/>
          </rPr>
          <t>Introduzca un codigo UNSPSC</t>
        </r>
      </text>
    </comment>
    <comment ref="B1819" authorId="2" shapeId="0">
      <text>
        <r>
          <rPr>
            <sz val="11"/>
            <color theme="1"/>
            <rFont val="Calibri"/>
            <family val="2"/>
            <scheme val="minor"/>
          </rPr>
          <t>Descripción calculada automáticamente a partir de código del artículo</t>
        </r>
      </text>
    </comment>
    <comment ref="C1819" authorId="2" shapeId="0">
      <text>
        <r>
          <rPr>
            <sz val="11"/>
            <color theme="1"/>
            <rFont val="Calibri"/>
            <family val="2"/>
            <scheme val="minor"/>
          </rPr>
          <t>Seleccione un valor de la lista</t>
        </r>
      </text>
    </comment>
    <comment ref="D1819" authorId="2" shapeId="0">
      <text>
        <r>
          <rPr>
            <sz val="11"/>
            <color theme="1"/>
            <rFont val="Calibri"/>
            <family val="2"/>
            <scheme val="minor"/>
          </rPr>
          <t>Introduzca un número con dos decimales como máximo. Debe ser igual o mayor a la "Cantidad Real Consumida"</t>
        </r>
      </text>
    </comment>
    <comment ref="E1819" authorId="2" shapeId="0">
      <text>
        <r>
          <rPr>
            <sz val="11"/>
            <color theme="1"/>
            <rFont val="Calibri"/>
            <family val="2"/>
            <scheme val="minor"/>
          </rPr>
          <t>Introduzca un número con dos decimales como máximo</t>
        </r>
      </text>
    </comment>
    <comment ref="F1819" authorId="2" shapeId="0">
      <text>
        <r>
          <rPr>
            <sz val="11"/>
            <color theme="1"/>
            <rFont val="Calibri"/>
            <family val="2"/>
            <scheme val="minor"/>
          </rPr>
          <t>Monto calculado automáticamente por el sistema</t>
        </r>
      </text>
    </comment>
    <comment ref="A1826" authorId="2" shapeId="0">
      <text>
        <r>
          <rPr>
            <sz val="11"/>
            <color theme="1"/>
            <rFont val="Calibri"/>
            <family val="2"/>
            <scheme val="minor"/>
          </rPr>
          <t>Introducir un texto con el nombre o referencia de la contratación</t>
        </r>
      </text>
    </comment>
    <comment ref="B1826" authorId="2" shapeId="0">
      <text>
        <r>
          <rPr>
            <sz val="11"/>
            <color theme="1"/>
            <rFont val="Calibri"/>
            <family val="2"/>
            <scheme val="minor"/>
          </rPr>
          <t>Introduzca un texto con la finalidad de la contratación</t>
        </r>
      </text>
    </comment>
    <comment ref="C1826" authorId="2" shapeId="0">
      <text>
        <r>
          <rPr>
            <sz val="11"/>
            <color theme="1"/>
            <rFont val="Calibri"/>
            <family val="2"/>
            <scheme val="minor"/>
          </rPr>
          <t>Seleccionar un valor del listado</t>
        </r>
      </text>
    </comment>
    <comment ref="D1826" authorId="2" shapeId="0">
      <text>
        <r>
          <rPr>
            <sz val="11"/>
            <color theme="1"/>
            <rFont val="Calibri"/>
            <family val="2"/>
            <scheme val="minor"/>
          </rPr>
          <t>Seleccione el tipo de procedimiento</t>
        </r>
      </text>
    </comment>
    <comment ref="E1826" authorId="2" shapeId="0">
      <text>
        <r>
          <rPr>
            <sz val="11"/>
            <color theme="1"/>
            <rFont val="Calibri"/>
            <family val="2"/>
            <scheme val="minor"/>
          </rPr>
          <t>Seleccione un valor de la lista</t>
        </r>
      </text>
    </comment>
    <comment ref="F1826" authorId="2" shapeId="0">
      <text>
        <r>
          <rPr>
            <sz val="11"/>
            <color theme="1"/>
            <rFont val="Calibri"/>
            <family val="2"/>
            <scheme val="minor"/>
          </rPr>
          <t>Introduzca el código SNIP</t>
        </r>
      </text>
    </comment>
    <comment ref="C1827" authorId="2" shapeId="0">
      <text>
        <r>
          <rPr>
            <sz val="11"/>
            <color theme="1"/>
            <rFont val="Calibri"/>
            <family val="2"/>
            <scheme val="minor"/>
          </rPr>
          <t>Introduzca la fecha de inicio del proceso, en formato dd-mm-aaaa</t>
        </r>
      </text>
    </comment>
    <comment ref="F18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shapeId="0">
      <text/>
    </comment>
    <comment ref="C1829" authorId="2" shapeId="0">
      <text>
        <r>
          <rPr>
            <sz val="11"/>
            <color theme="1"/>
            <rFont val="Calibri"/>
            <family val="2"/>
            <scheme val="minor"/>
          </rPr>
          <t>Introduzca la fecha prevista de adjudicación, en formato dd-mm-aaaa</t>
        </r>
      </text>
    </comment>
    <comment ref="F1829" authorId="2" shapeId="0">
      <text/>
    </comment>
    <comment ref="F1830" authorId="2" shapeId="0">
      <text/>
    </comment>
    <comment ref="A1832" authorId="2" shapeId="0">
      <text>
        <r>
          <rPr>
            <sz val="11"/>
            <color theme="1"/>
            <rFont val="Calibri"/>
            <family val="2"/>
            <scheme val="minor"/>
          </rPr>
          <t>Introduzca un codigo UNSPSC</t>
        </r>
      </text>
    </comment>
    <comment ref="B1832" authorId="2" shapeId="0">
      <text>
        <r>
          <rPr>
            <sz val="11"/>
            <color theme="1"/>
            <rFont val="Calibri"/>
            <family val="2"/>
            <scheme val="minor"/>
          </rPr>
          <t>Descripción calculada automáticamente a partir de código del artículo</t>
        </r>
      </text>
    </comment>
    <comment ref="C1832" authorId="2" shapeId="0">
      <text>
        <r>
          <rPr>
            <sz val="11"/>
            <color theme="1"/>
            <rFont val="Calibri"/>
            <family val="2"/>
            <scheme val="minor"/>
          </rPr>
          <t>Seleccione un valor de la lista</t>
        </r>
      </text>
    </comment>
    <comment ref="D1832" authorId="2" shapeId="0">
      <text>
        <r>
          <rPr>
            <sz val="11"/>
            <color theme="1"/>
            <rFont val="Calibri"/>
            <family val="2"/>
            <scheme val="minor"/>
          </rPr>
          <t>Introduzca un número con dos decimales como máximo. Debe ser igual o mayor a la "Cantidad Real Consumida"</t>
        </r>
      </text>
    </comment>
    <comment ref="E1832" authorId="2" shapeId="0">
      <text>
        <r>
          <rPr>
            <sz val="11"/>
            <color theme="1"/>
            <rFont val="Calibri"/>
            <family val="2"/>
            <scheme val="minor"/>
          </rPr>
          <t>Introduzca un número con dos decimales como máximo</t>
        </r>
      </text>
    </comment>
    <comment ref="F1832" authorId="2" shapeId="0">
      <text>
        <r>
          <rPr>
            <sz val="11"/>
            <color theme="1"/>
            <rFont val="Calibri"/>
            <family val="2"/>
            <scheme val="minor"/>
          </rPr>
          <t>Monto calculado automáticamente por el sistema</t>
        </r>
      </text>
    </comment>
    <comment ref="A1837" authorId="2" shapeId="0">
      <text>
        <r>
          <rPr>
            <sz val="11"/>
            <color theme="1"/>
            <rFont val="Calibri"/>
            <family val="2"/>
            <scheme val="minor"/>
          </rPr>
          <t>Introducir un texto con el nombre o referencia de la contratación</t>
        </r>
      </text>
    </comment>
    <comment ref="B1837" authorId="2" shapeId="0">
      <text>
        <r>
          <rPr>
            <sz val="11"/>
            <color theme="1"/>
            <rFont val="Calibri"/>
            <family val="2"/>
            <scheme val="minor"/>
          </rPr>
          <t>Introduzca un texto con la finalidad de la contratación</t>
        </r>
      </text>
    </comment>
    <comment ref="C1837" authorId="2" shapeId="0">
      <text>
        <r>
          <rPr>
            <sz val="11"/>
            <color theme="1"/>
            <rFont val="Calibri"/>
            <family val="2"/>
            <scheme val="minor"/>
          </rPr>
          <t>Seleccionar un valor del listado</t>
        </r>
      </text>
    </comment>
    <comment ref="D1837" authorId="2" shapeId="0">
      <text>
        <r>
          <rPr>
            <sz val="11"/>
            <color theme="1"/>
            <rFont val="Calibri"/>
            <family val="2"/>
            <scheme val="minor"/>
          </rPr>
          <t>Seleccione el tipo de procedimiento</t>
        </r>
      </text>
    </comment>
    <comment ref="E1837" authorId="2" shapeId="0">
      <text>
        <r>
          <rPr>
            <sz val="11"/>
            <color theme="1"/>
            <rFont val="Calibri"/>
            <family val="2"/>
            <scheme val="minor"/>
          </rPr>
          <t>Seleccione un valor de la lista</t>
        </r>
      </text>
    </comment>
    <comment ref="F1837" authorId="2" shapeId="0">
      <text>
        <r>
          <rPr>
            <sz val="11"/>
            <color theme="1"/>
            <rFont val="Calibri"/>
            <family val="2"/>
            <scheme val="minor"/>
          </rPr>
          <t>Introduzca el código SNIP</t>
        </r>
      </text>
    </comment>
    <comment ref="C1838" authorId="2" shapeId="0">
      <text>
        <r>
          <rPr>
            <sz val="11"/>
            <color theme="1"/>
            <rFont val="Calibri"/>
            <family val="2"/>
            <scheme val="minor"/>
          </rPr>
          <t>Introduzca la fecha de inicio del proceso, en formato dd-mm-aaaa</t>
        </r>
      </text>
    </comment>
    <comment ref="F18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9" authorId="2" shapeId="0">
      <text/>
    </comment>
    <comment ref="C1840" authorId="2" shapeId="0">
      <text>
        <r>
          <rPr>
            <sz val="11"/>
            <color theme="1"/>
            <rFont val="Calibri"/>
            <family val="2"/>
            <scheme val="minor"/>
          </rPr>
          <t>Introduzca la fecha prevista de adjudicación, en formato dd-mm-aaaa</t>
        </r>
      </text>
    </comment>
    <comment ref="F1840" authorId="2" shapeId="0">
      <text/>
    </comment>
    <comment ref="F1841" authorId="2" shapeId="0">
      <text/>
    </comment>
    <comment ref="A1843" authorId="2" shapeId="0">
      <text>
        <r>
          <rPr>
            <sz val="11"/>
            <color theme="1"/>
            <rFont val="Calibri"/>
            <family val="2"/>
            <scheme val="minor"/>
          </rPr>
          <t>Introduzca un codigo UNSPSC</t>
        </r>
      </text>
    </comment>
    <comment ref="B1843" authorId="2" shapeId="0">
      <text>
        <r>
          <rPr>
            <sz val="11"/>
            <color theme="1"/>
            <rFont val="Calibri"/>
            <family val="2"/>
            <scheme val="minor"/>
          </rPr>
          <t>Descripción calculada automáticamente a partir de código del artículo</t>
        </r>
      </text>
    </comment>
    <comment ref="C1843" authorId="2" shapeId="0">
      <text>
        <r>
          <rPr>
            <sz val="11"/>
            <color theme="1"/>
            <rFont val="Calibri"/>
            <family val="2"/>
            <scheme val="minor"/>
          </rPr>
          <t>Seleccione un valor de la lista</t>
        </r>
      </text>
    </comment>
    <comment ref="D1843" authorId="2" shapeId="0">
      <text>
        <r>
          <rPr>
            <sz val="11"/>
            <color theme="1"/>
            <rFont val="Calibri"/>
            <family val="2"/>
            <scheme val="minor"/>
          </rPr>
          <t>Introduzca un número con dos decimales como máximo. Debe ser igual o mayor a la "Cantidad Real Consumida"</t>
        </r>
      </text>
    </comment>
    <comment ref="E1843" authorId="2" shapeId="0">
      <text>
        <r>
          <rPr>
            <sz val="11"/>
            <color theme="1"/>
            <rFont val="Calibri"/>
            <family val="2"/>
            <scheme val="minor"/>
          </rPr>
          <t>Introduzca un número con dos decimales como máximo</t>
        </r>
      </text>
    </comment>
    <comment ref="F1843" authorId="2" shapeId="0">
      <text>
        <r>
          <rPr>
            <sz val="11"/>
            <color theme="1"/>
            <rFont val="Calibri"/>
            <family val="2"/>
            <scheme val="minor"/>
          </rPr>
          <t>Monto calculado automáticamente por el sistema</t>
        </r>
      </text>
    </comment>
    <comment ref="A1848" authorId="1" shapeId="0">
      <text>
        <r>
          <rPr>
            <sz val="11"/>
            <color theme="1"/>
            <rFont val="Calibri"/>
            <family val="2"/>
            <scheme val="minor"/>
          </rPr>
          <t>Introducir un texto con el nombre o referencia de la contratación</t>
        </r>
      </text>
    </comment>
    <comment ref="B1848" authorId="1" shapeId="0">
      <text>
        <r>
          <rPr>
            <sz val="11"/>
            <color theme="1"/>
            <rFont val="Calibri"/>
            <family val="2"/>
            <scheme val="minor"/>
          </rPr>
          <t>Introduzca un texto con la finalidad de la contratación</t>
        </r>
      </text>
    </comment>
    <comment ref="C1848" authorId="1" shapeId="0">
      <text>
        <r>
          <rPr>
            <sz val="11"/>
            <color theme="1"/>
            <rFont val="Calibri"/>
            <family val="2"/>
            <scheme val="minor"/>
          </rPr>
          <t>Seleccionar un valor del listado</t>
        </r>
      </text>
    </comment>
    <comment ref="D1848" authorId="1" shapeId="0">
      <text>
        <r>
          <rPr>
            <sz val="11"/>
            <color theme="1"/>
            <rFont val="Calibri"/>
            <family val="2"/>
            <scheme val="minor"/>
          </rPr>
          <t>Seleccione el tipo de procedimiento</t>
        </r>
      </text>
    </comment>
    <comment ref="E1848" authorId="1" shapeId="0">
      <text>
        <r>
          <rPr>
            <sz val="11"/>
            <color theme="1"/>
            <rFont val="Calibri"/>
            <family val="2"/>
            <scheme val="minor"/>
          </rPr>
          <t>Seleccione un valor de la lista</t>
        </r>
      </text>
    </comment>
    <comment ref="F1848" authorId="2" shapeId="0">
      <text>
        <r>
          <rPr>
            <sz val="11"/>
            <color theme="1"/>
            <rFont val="Calibri"/>
            <family val="2"/>
            <scheme val="minor"/>
          </rPr>
          <t>Introduzca el código SNIP</t>
        </r>
      </text>
    </comment>
    <comment ref="C1849" authorId="2" shapeId="0">
      <text>
        <r>
          <rPr>
            <sz val="11"/>
            <color theme="1"/>
            <rFont val="Calibri"/>
            <family val="2"/>
            <scheme val="minor"/>
          </rPr>
          <t>Introduzca la fecha de inicio del proceso, en formato dd-mm-aaaa</t>
        </r>
      </text>
    </comment>
    <comment ref="F18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2" shapeId="0">
      <text/>
    </comment>
    <comment ref="C1851" authorId="2" shapeId="0">
      <text>
        <r>
          <rPr>
            <sz val="11"/>
            <color theme="1"/>
            <rFont val="Calibri"/>
            <family val="2"/>
            <scheme val="minor"/>
          </rPr>
          <t>Introduzca la fecha prevista de adjudicación, en formato dd-mm-aaaa</t>
        </r>
      </text>
    </comment>
    <comment ref="F1851" authorId="2" shapeId="0">
      <text/>
    </comment>
    <comment ref="F1852" authorId="2" shapeId="0">
      <text/>
    </comment>
    <comment ref="A1854" authorId="2" shapeId="0">
      <text>
        <r>
          <rPr>
            <sz val="11"/>
            <color theme="1"/>
            <rFont val="Calibri"/>
            <family val="2"/>
            <scheme val="minor"/>
          </rPr>
          <t>Introduzca un codigo UNSPSC</t>
        </r>
      </text>
    </comment>
    <comment ref="B1854" authorId="2" shapeId="0">
      <text>
        <r>
          <rPr>
            <sz val="11"/>
            <color theme="1"/>
            <rFont val="Calibri"/>
            <family val="2"/>
            <scheme val="minor"/>
          </rPr>
          <t>Descripción calculada automáticamente a partir de código del artículo</t>
        </r>
      </text>
    </comment>
    <comment ref="C1854" authorId="2" shapeId="0">
      <text>
        <r>
          <rPr>
            <sz val="11"/>
            <color theme="1"/>
            <rFont val="Calibri"/>
            <family val="2"/>
            <scheme val="minor"/>
          </rPr>
          <t>Seleccione un valor de la lista</t>
        </r>
      </text>
    </comment>
    <comment ref="D1854" authorId="2" shapeId="0">
      <text>
        <r>
          <rPr>
            <sz val="11"/>
            <color theme="1"/>
            <rFont val="Calibri"/>
            <family val="2"/>
            <scheme val="minor"/>
          </rPr>
          <t>Introduzca un número con dos decimales como máximo. Debe ser igual o mayor a la "Cantidad Real Consumida"</t>
        </r>
      </text>
    </comment>
    <comment ref="E1854" authorId="2" shapeId="0">
      <text>
        <r>
          <rPr>
            <sz val="11"/>
            <color theme="1"/>
            <rFont val="Calibri"/>
            <family val="2"/>
            <scheme val="minor"/>
          </rPr>
          <t>Introduzca un número con dos decimales como máximo</t>
        </r>
      </text>
    </comment>
    <comment ref="F1854" authorId="2" shapeId="0">
      <text>
        <r>
          <rPr>
            <sz val="11"/>
            <color theme="1"/>
            <rFont val="Calibri"/>
            <family val="2"/>
            <scheme val="minor"/>
          </rPr>
          <t>Monto calculado automáticamente por el sistema</t>
        </r>
      </text>
    </comment>
    <comment ref="A1860" authorId="2" shapeId="0">
      <text>
        <r>
          <rPr>
            <sz val="11"/>
            <color theme="1"/>
            <rFont val="Calibri"/>
            <family val="2"/>
            <scheme val="minor"/>
          </rPr>
          <t>Introducir un texto con el nombre o referencia de la contratación</t>
        </r>
      </text>
    </comment>
    <comment ref="B1860" authorId="2" shapeId="0">
      <text>
        <r>
          <rPr>
            <sz val="11"/>
            <color theme="1"/>
            <rFont val="Calibri"/>
            <family val="2"/>
            <scheme val="minor"/>
          </rPr>
          <t>Introduzca un texto con la finalidad de la contratación</t>
        </r>
      </text>
    </comment>
    <comment ref="C1860" authorId="2" shapeId="0">
      <text>
        <r>
          <rPr>
            <sz val="11"/>
            <color theme="1"/>
            <rFont val="Calibri"/>
            <family val="2"/>
            <scheme val="minor"/>
          </rPr>
          <t>Seleccionar un valor del listado</t>
        </r>
      </text>
    </comment>
    <comment ref="D1860" authorId="2" shapeId="0">
      <text>
        <r>
          <rPr>
            <sz val="11"/>
            <color theme="1"/>
            <rFont val="Calibri"/>
            <family val="2"/>
            <scheme val="minor"/>
          </rPr>
          <t>Seleccione el tipo de procedimiento</t>
        </r>
      </text>
    </comment>
    <comment ref="E1860" authorId="2" shapeId="0">
      <text>
        <r>
          <rPr>
            <sz val="11"/>
            <color theme="1"/>
            <rFont val="Calibri"/>
            <family val="2"/>
            <scheme val="minor"/>
          </rPr>
          <t>Seleccione un valor de la lista</t>
        </r>
      </text>
    </comment>
    <comment ref="F1860" authorId="2" shapeId="0">
      <text>
        <r>
          <rPr>
            <sz val="11"/>
            <color theme="1"/>
            <rFont val="Calibri"/>
            <family val="2"/>
            <scheme val="minor"/>
          </rPr>
          <t>Introduzca el código SNIP</t>
        </r>
      </text>
    </comment>
    <comment ref="C1861" authorId="2" shapeId="0">
      <text>
        <r>
          <rPr>
            <sz val="11"/>
            <color theme="1"/>
            <rFont val="Calibri"/>
            <family val="2"/>
            <scheme val="minor"/>
          </rPr>
          <t>Introduzca la fecha de inicio del proceso, en formato dd-mm-aaaa</t>
        </r>
      </text>
    </comment>
    <comment ref="F18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2" shapeId="0">
      <text/>
    </comment>
    <comment ref="C1863" authorId="2" shapeId="0">
      <text>
        <r>
          <rPr>
            <sz val="11"/>
            <color theme="1"/>
            <rFont val="Calibri"/>
            <family val="2"/>
            <scheme val="minor"/>
          </rPr>
          <t>Introduzca la fecha prevista de adjudicación, en formato dd-mm-aaaa</t>
        </r>
      </text>
    </comment>
    <comment ref="F1863" authorId="2" shapeId="0">
      <text/>
    </comment>
    <comment ref="F1864" authorId="2" shapeId="0">
      <text/>
    </comment>
    <comment ref="A1866" authorId="2" shapeId="0">
      <text>
        <r>
          <rPr>
            <sz val="11"/>
            <color theme="1"/>
            <rFont val="Calibri"/>
            <family val="2"/>
            <scheme val="minor"/>
          </rPr>
          <t>Introduzca un codigo UNSPSC</t>
        </r>
      </text>
    </comment>
    <comment ref="B1866" authorId="2" shapeId="0">
      <text>
        <r>
          <rPr>
            <sz val="11"/>
            <color theme="1"/>
            <rFont val="Calibri"/>
            <family val="2"/>
            <scheme val="minor"/>
          </rPr>
          <t>Descripción calculada automáticamente a partir de código del artículo</t>
        </r>
      </text>
    </comment>
    <comment ref="C1866" authorId="2" shapeId="0">
      <text>
        <r>
          <rPr>
            <sz val="11"/>
            <color theme="1"/>
            <rFont val="Calibri"/>
            <family val="2"/>
            <scheme val="minor"/>
          </rPr>
          <t>Seleccione un valor de la lista</t>
        </r>
      </text>
    </comment>
    <comment ref="D1866" authorId="2" shapeId="0">
      <text>
        <r>
          <rPr>
            <sz val="11"/>
            <color theme="1"/>
            <rFont val="Calibri"/>
            <family val="2"/>
            <scheme val="minor"/>
          </rPr>
          <t>Introduzca un número con dos decimales como máximo. Debe ser igual o mayor a la "Cantidad Real Consumida"</t>
        </r>
      </text>
    </comment>
    <comment ref="E1866" authorId="2" shapeId="0">
      <text>
        <r>
          <rPr>
            <sz val="11"/>
            <color theme="1"/>
            <rFont val="Calibri"/>
            <family val="2"/>
            <scheme val="minor"/>
          </rPr>
          <t>Introduzca un número con dos decimales como máximo</t>
        </r>
      </text>
    </comment>
    <comment ref="F1866" authorId="2" shapeId="0">
      <text>
        <r>
          <rPr>
            <sz val="11"/>
            <color theme="1"/>
            <rFont val="Calibri"/>
            <family val="2"/>
            <scheme val="minor"/>
          </rPr>
          <t>Monto calculado automáticamente por el sistema</t>
        </r>
      </text>
    </comment>
    <comment ref="A1871" authorId="1" shapeId="0">
      <text>
        <r>
          <rPr>
            <sz val="11"/>
            <color theme="1"/>
            <rFont val="Calibri"/>
            <family val="2"/>
            <scheme val="minor"/>
          </rPr>
          <t>Introducir un texto con el nombre o referencia de la contratación</t>
        </r>
      </text>
    </comment>
    <comment ref="B1871" authorId="1" shapeId="0">
      <text>
        <r>
          <rPr>
            <sz val="11"/>
            <color theme="1"/>
            <rFont val="Calibri"/>
            <family val="2"/>
            <scheme val="minor"/>
          </rPr>
          <t>Introduzca un texto con la finalidad de la contratación</t>
        </r>
      </text>
    </comment>
    <comment ref="C1871" authorId="1" shapeId="0">
      <text>
        <r>
          <rPr>
            <sz val="11"/>
            <color theme="1"/>
            <rFont val="Calibri"/>
            <family val="2"/>
            <scheme val="minor"/>
          </rPr>
          <t>Seleccionar un valor del listado</t>
        </r>
      </text>
    </comment>
    <comment ref="D1871" authorId="1" shapeId="0">
      <text>
        <r>
          <rPr>
            <sz val="11"/>
            <color theme="1"/>
            <rFont val="Calibri"/>
            <family val="2"/>
            <scheme val="minor"/>
          </rPr>
          <t>Seleccione el tipo de procedimiento</t>
        </r>
      </text>
    </comment>
    <comment ref="E1871" authorId="1" shapeId="0">
      <text>
        <r>
          <rPr>
            <sz val="11"/>
            <color theme="1"/>
            <rFont val="Calibri"/>
            <family val="2"/>
            <scheme val="minor"/>
          </rPr>
          <t>Seleccione un valor de la lista</t>
        </r>
      </text>
    </comment>
    <comment ref="F1871" authorId="2" shapeId="0">
      <text>
        <r>
          <rPr>
            <sz val="11"/>
            <color theme="1"/>
            <rFont val="Calibri"/>
            <family val="2"/>
            <scheme val="minor"/>
          </rPr>
          <t>Introduzca el código SNIP</t>
        </r>
      </text>
    </comment>
    <comment ref="C1872" authorId="2" shapeId="0">
      <text>
        <r>
          <rPr>
            <sz val="11"/>
            <color theme="1"/>
            <rFont val="Calibri"/>
            <family val="2"/>
            <scheme val="minor"/>
          </rPr>
          <t>Introduzca la fecha de inicio del proceso, en formato dd-mm-aaaa</t>
        </r>
      </text>
    </comment>
    <comment ref="F18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2" shapeId="0">
      <text/>
    </comment>
    <comment ref="C1874" authorId="2" shapeId="0">
      <text>
        <r>
          <rPr>
            <sz val="11"/>
            <color theme="1"/>
            <rFont val="Calibri"/>
            <family val="2"/>
            <scheme val="minor"/>
          </rPr>
          <t>Introduzca la fecha prevista de adjudicación, en formato dd-mm-aaaa</t>
        </r>
      </text>
    </comment>
    <comment ref="F1874" authorId="2" shapeId="0">
      <text/>
    </comment>
    <comment ref="F1875" authorId="2" shapeId="0">
      <text/>
    </comment>
    <comment ref="A1877" authorId="2" shapeId="0">
      <text>
        <r>
          <rPr>
            <sz val="11"/>
            <color theme="1"/>
            <rFont val="Calibri"/>
            <family val="2"/>
            <scheme val="minor"/>
          </rPr>
          <t>Introduzca un codigo UNSPSC</t>
        </r>
      </text>
    </comment>
    <comment ref="B1877" authorId="2" shapeId="0">
      <text>
        <r>
          <rPr>
            <sz val="11"/>
            <color theme="1"/>
            <rFont val="Calibri"/>
            <family val="2"/>
            <scheme val="minor"/>
          </rPr>
          <t>Descripción calculada automáticamente a partir de código del artículo</t>
        </r>
      </text>
    </comment>
    <comment ref="C1877" authorId="2" shapeId="0">
      <text>
        <r>
          <rPr>
            <sz val="11"/>
            <color theme="1"/>
            <rFont val="Calibri"/>
            <family val="2"/>
            <scheme val="minor"/>
          </rPr>
          <t>Seleccione un valor de la lista</t>
        </r>
      </text>
    </comment>
    <comment ref="D1877" authorId="2" shapeId="0">
      <text>
        <r>
          <rPr>
            <sz val="11"/>
            <color theme="1"/>
            <rFont val="Calibri"/>
            <family val="2"/>
            <scheme val="minor"/>
          </rPr>
          <t>Introduzca un número con dos decimales como máximo. Debe ser igual o mayor a la "Cantidad Real Consumida"</t>
        </r>
      </text>
    </comment>
    <comment ref="E1877" authorId="2" shapeId="0">
      <text>
        <r>
          <rPr>
            <sz val="11"/>
            <color theme="1"/>
            <rFont val="Calibri"/>
            <family val="2"/>
            <scheme val="minor"/>
          </rPr>
          <t>Introduzca un número con dos decimales como máximo</t>
        </r>
      </text>
    </comment>
    <comment ref="F1877" authorId="2" shapeId="0">
      <text>
        <r>
          <rPr>
            <sz val="11"/>
            <color theme="1"/>
            <rFont val="Calibri"/>
            <family val="2"/>
            <scheme val="minor"/>
          </rPr>
          <t>Monto calculado automáticamente por el sistema</t>
        </r>
      </text>
    </comment>
    <comment ref="A1882" authorId="1" shapeId="0">
      <text>
        <r>
          <rPr>
            <sz val="11"/>
            <color theme="1"/>
            <rFont val="Calibri"/>
            <family val="2"/>
            <scheme val="minor"/>
          </rPr>
          <t>Introducir un texto con el nombre o referencia de la contratación</t>
        </r>
      </text>
    </comment>
    <comment ref="B1882" authorId="1" shapeId="0">
      <text>
        <r>
          <rPr>
            <sz val="11"/>
            <color theme="1"/>
            <rFont val="Calibri"/>
            <family val="2"/>
            <scheme val="minor"/>
          </rPr>
          <t>Introduzca un texto con la finalidad de la contratación</t>
        </r>
      </text>
    </comment>
    <comment ref="C1882" authorId="1" shapeId="0">
      <text>
        <r>
          <rPr>
            <sz val="11"/>
            <color theme="1"/>
            <rFont val="Calibri"/>
            <family val="2"/>
            <scheme val="minor"/>
          </rPr>
          <t>Seleccionar un valor del listado</t>
        </r>
      </text>
    </comment>
    <comment ref="D1882" authorId="1" shapeId="0">
      <text>
        <r>
          <rPr>
            <sz val="11"/>
            <color theme="1"/>
            <rFont val="Calibri"/>
            <family val="2"/>
            <scheme val="minor"/>
          </rPr>
          <t>Seleccione el tipo de procedimiento</t>
        </r>
      </text>
    </comment>
    <comment ref="E1882" authorId="1" shapeId="0">
      <text>
        <r>
          <rPr>
            <sz val="11"/>
            <color theme="1"/>
            <rFont val="Calibri"/>
            <family val="2"/>
            <scheme val="minor"/>
          </rPr>
          <t>Seleccione un valor de la lista</t>
        </r>
      </text>
    </comment>
    <comment ref="F1882" authorId="2" shapeId="0">
      <text>
        <r>
          <rPr>
            <sz val="11"/>
            <color theme="1"/>
            <rFont val="Calibri"/>
            <family val="2"/>
            <scheme val="minor"/>
          </rPr>
          <t>Introduzca el código SNIP</t>
        </r>
      </text>
    </comment>
    <comment ref="C1883" authorId="2" shapeId="0">
      <text>
        <r>
          <rPr>
            <sz val="11"/>
            <color theme="1"/>
            <rFont val="Calibri"/>
            <family val="2"/>
            <scheme val="minor"/>
          </rPr>
          <t>Introduzca la fecha de inicio del proceso, en formato dd-mm-aaaa</t>
        </r>
      </text>
    </comment>
    <comment ref="F18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shapeId="0">
      <text/>
    </comment>
    <comment ref="C1885" authorId="2" shapeId="0">
      <text>
        <r>
          <rPr>
            <sz val="11"/>
            <color theme="1"/>
            <rFont val="Calibri"/>
            <family val="2"/>
            <scheme val="minor"/>
          </rPr>
          <t>Introduzca la fecha prevista de adjudicación, en formato dd-mm-aaaa</t>
        </r>
      </text>
    </comment>
    <comment ref="F1885" authorId="2" shapeId="0">
      <text/>
    </comment>
    <comment ref="F1886" authorId="2" shapeId="0">
      <text/>
    </comment>
    <comment ref="A1888" authorId="2" shapeId="0">
      <text>
        <r>
          <rPr>
            <sz val="11"/>
            <color theme="1"/>
            <rFont val="Calibri"/>
            <family val="2"/>
            <scheme val="minor"/>
          </rPr>
          <t>Introduzca un codigo UNSPSC</t>
        </r>
      </text>
    </comment>
    <comment ref="B1888" authorId="2" shapeId="0">
      <text>
        <r>
          <rPr>
            <sz val="11"/>
            <color theme="1"/>
            <rFont val="Calibri"/>
            <family val="2"/>
            <scheme val="minor"/>
          </rPr>
          <t>Descripción calculada automáticamente a partir de código del artículo</t>
        </r>
      </text>
    </comment>
    <comment ref="C1888" authorId="2" shapeId="0">
      <text>
        <r>
          <rPr>
            <sz val="11"/>
            <color theme="1"/>
            <rFont val="Calibri"/>
            <family val="2"/>
            <scheme val="minor"/>
          </rPr>
          <t>Seleccione un valor de la lista</t>
        </r>
      </text>
    </comment>
    <comment ref="D1888" authorId="2" shapeId="0">
      <text>
        <r>
          <rPr>
            <sz val="11"/>
            <color theme="1"/>
            <rFont val="Calibri"/>
            <family val="2"/>
            <scheme val="minor"/>
          </rPr>
          <t>Introduzca un número con dos decimales como máximo. Debe ser igual o mayor a la "Cantidad Real Consumida"</t>
        </r>
      </text>
    </comment>
    <comment ref="E1888" authorId="2" shapeId="0">
      <text>
        <r>
          <rPr>
            <sz val="11"/>
            <color theme="1"/>
            <rFont val="Calibri"/>
            <family val="2"/>
            <scheme val="minor"/>
          </rPr>
          <t>Introduzca un número con dos decimales como máximo</t>
        </r>
      </text>
    </comment>
    <comment ref="F1888" authorId="2" shapeId="0">
      <text>
        <r>
          <rPr>
            <sz val="11"/>
            <color theme="1"/>
            <rFont val="Calibri"/>
            <family val="2"/>
            <scheme val="minor"/>
          </rPr>
          <t>Monto calculado automáticamente por el sistema</t>
        </r>
      </text>
    </comment>
    <comment ref="A1893" authorId="2" shapeId="0">
      <text>
        <r>
          <rPr>
            <sz val="11"/>
            <color theme="1"/>
            <rFont val="Calibri"/>
            <family val="2"/>
            <scheme val="minor"/>
          </rPr>
          <t>Introducir un texto con el nombre o referencia de la contratación</t>
        </r>
      </text>
    </comment>
    <comment ref="B1893" authorId="2" shapeId="0">
      <text>
        <r>
          <rPr>
            <sz val="11"/>
            <color theme="1"/>
            <rFont val="Calibri"/>
            <family val="2"/>
            <scheme val="minor"/>
          </rPr>
          <t>Introduzca un texto con la finalidad de la contratación</t>
        </r>
      </text>
    </comment>
    <comment ref="C1893" authorId="2" shapeId="0">
      <text>
        <r>
          <rPr>
            <sz val="11"/>
            <color theme="1"/>
            <rFont val="Calibri"/>
            <family val="2"/>
            <scheme val="minor"/>
          </rPr>
          <t>Seleccionar un valor del listado</t>
        </r>
      </text>
    </comment>
    <comment ref="D1893" authorId="2" shapeId="0">
      <text>
        <r>
          <rPr>
            <sz val="11"/>
            <color theme="1"/>
            <rFont val="Calibri"/>
            <family val="2"/>
            <scheme val="minor"/>
          </rPr>
          <t>Seleccione el tipo de procedimiento</t>
        </r>
      </text>
    </comment>
    <comment ref="E1893" authorId="2" shapeId="0">
      <text>
        <r>
          <rPr>
            <sz val="11"/>
            <color theme="1"/>
            <rFont val="Calibri"/>
            <family val="2"/>
            <scheme val="minor"/>
          </rPr>
          <t>Seleccione un valor de la lista</t>
        </r>
      </text>
    </comment>
    <comment ref="F1893" authorId="2" shapeId="0">
      <text>
        <r>
          <rPr>
            <sz val="11"/>
            <color theme="1"/>
            <rFont val="Calibri"/>
            <family val="2"/>
            <scheme val="minor"/>
          </rPr>
          <t>Introduzca el código SNIP</t>
        </r>
      </text>
    </comment>
    <comment ref="C1894" authorId="2" shapeId="0">
      <text>
        <r>
          <rPr>
            <sz val="11"/>
            <color theme="1"/>
            <rFont val="Calibri"/>
            <family val="2"/>
            <scheme val="minor"/>
          </rPr>
          <t>Introduzca la fecha de inicio del proceso, en formato dd-mm-aaaa</t>
        </r>
      </text>
    </comment>
    <comment ref="F18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2" shapeId="0">
      <text/>
    </comment>
    <comment ref="C1896" authorId="2" shapeId="0">
      <text>
        <r>
          <rPr>
            <sz val="11"/>
            <color theme="1"/>
            <rFont val="Calibri"/>
            <family val="2"/>
            <scheme val="minor"/>
          </rPr>
          <t>Introduzca la fecha prevista de adjudicación, en formato dd-mm-aaaa</t>
        </r>
      </text>
    </comment>
    <comment ref="F1896" authorId="2" shapeId="0">
      <text/>
    </comment>
    <comment ref="F1897" authorId="2" shapeId="0">
      <text/>
    </comment>
    <comment ref="A1899" authorId="2" shapeId="0">
      <text>
        <r>
          <rPr>
            <sz val="11"/>
            <color theme="1"/>
            <rFont val="Calibri"/>
            <family val="2"/>
            <scheme val="minor"/>
          </rPr>
          <t>Introduzca un codigo UNSPSC</t>
        </r>
      </text>
    </comment>
    <comment ref="B1899" authorId="2" shapeId="0">
      <text>
        <r>
          <rPr>
            <sz val="11"/>
            <color theme="1"/>
            <rFont val="Calibri"/>
            <family val="2"/>
            <scheme val="minor"/>
          </rPr>
          <t>Descripción calculada automáticamente a partir de código del artículo</t>
        </r>
      </text>
    </comment>
    <comment ref="C1899" authorId="2" shapeId="0">
      <text>
        <r>
          <rPr>
            <sz val="11"/>
            <color theme="1"/>
            <rFont val="Calibri"/>
            <family val="2"/>
            <scheme val="minor"/>
          </rPr>
          <t>Seleccione un valor de la lista</t>
        </r>
      </text>
    </comment>
    <comment ref="D1899" authorId="2" shapeId="0">
      <text>
        <r>
          <rPr>
            <sz val="11"/>
            <color theme="1"/>
            <rFont val="Calibri"/>
            <family val="2"/>
            <scheme val="minor"/>
          </rPr>
          <t>Introduzca un número con dos decimales como máximo. Debe ser igual o mayor a la "Cantidad Real Consumida"</t>
        </r>
      </text>
    </comment>
    <comment ref="E1899" authorId="2" shapeId="0">
      <text>
        <r>
          <rPr>
            <sz val="11"/>
            <color theme="1"/>
            <rFont val="Calibri"/>
            <family val="2"/>
            <scheme val="minor"/>
          </rPr>
          <t>Introduzca un número con dos decimales como máximo</t>
        </r>
      </text>
    </comment>
    <comment ref="F1899" authorId="2" shapeId="0">
      <text>
        <r>
          <rPr>
            <sz val="11"/>
            <color theme="1"/>
            <rFont val="Calibri"/>
            <family val="2"/>
            <scheme val="minor"/>
          </rPr>
          <t>Monto calculado automáticamente por el sistema</t>
        </r>
      </text>
    </comment>
    <comment ref="A1906" authorId="2" shapeId="0">
      <text>
        <r>
          <rPr>
            <sz val="11"/>
            <color theme="1"/>
            <rFont val="Calibri"/>
            <family val="2"/>
            <scheme val="minor"/>
          </rPr>
          <t>Introducir un texto con el nombre o referencia de la contratación</t>
        </r>
      </text>
    </comment>
    <comment ref="B1906" authorId="2" shapeId="0">
      <text>
        <r>
          <rPr>
            <sz val="11"/>
            <color theme="1"/>
            <rFont val="Calibri"/>
            <family val="2"/>
            <scheme val="minor"/>
          </rPr>
          <t>Introduzca un texto con la finalidad de la contratación</t>
        </r>
      </text>
    </comment>
    <comment ref="C1906" authorId="2" shapeId="0">
      <text>
        <r>
          <rPr>
            <sz val="11"/>
            <color theme="1"/>
            <rFont val="Calibri"/>
            <family val="2"/>
            <scheme val="minor"/>
          </rPr>
          <t>Seleccionar un valor del listado</t>
        </r>
      </text>
    </comment>
    <comment ref="D1906" authorId="2" shapeId="0">
      <text>
        <r>
          <rPr>
            <sz val="11"/>
            <color theme="1"/>
            <rFont val="Calibri"/>
            <family val="2"/>
            <scheme val="minor"/>
          </rPr>
          <t>Seleccione el tipo de procedimiento</t>
        </r>
      </text>
    </comment>
    <comment ref="E1906" authorId="2" shapeId="0">
      <text>
        <r>
          <rPr>
            <sz val="11"/>
            <color theme="1"/>
            <rFont val="Calibri"/>
            <family val="2"/>
            <scheme val="minor"/>
          </rPr>
          <t>Seleccione un valor de la lista</t>
        </r>
      </text>
    </comment>
    <comment ref="F1906" authorId="2" shapeId="0">
      <text>
        <r>
          <rPr>
            <sz val="11"/>
            <color theme="1"/>
            <rFont val="Calibri"/>
            <family val="2"/>
            <scheme val="minor"/>
          </rPr>
          <t>Introduzca el código SNIP</t>
        </r>
      </text>
    </comment>
    <comment ref="C1907" authorId="2" shapeId="0">
      <text>
        <r>
          <rPr>
            <sz val="11"/>
            <color theme="1"/>
            <rFont val="Calibri"/>
            <family val="2"/>
            <scheme val="minor"/>
          </rPr>
          <t>Introduzca la fecha de inicio del proceso, en formato dd-mm-aaaa</t>
        </r>
      </text>
    </comment>
    <comment ref="F19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8" authorId="2" shapeId="0">
      <text/>
    </comment>
    <comment ref="C1909" authorId="2" shapeId="0">
      <text>
        <r>
          <rPr>
            <sz val="11"/>
            <color theme="1"/>
            <rFont val="Calibri"/>
            <family val="2"/>
            <scheme val="minor"/>
          </rPr>
          <t>Introduzca la fecha prevista de adjudicación, en formato dd-mm-aaaa</t>
        </r>
      </text>
    </comment>
    <comment ref="F1909" authorId="2" shapeId="0">
      <text/>
    </comment>
    <comment ref="F1910" authorId="2" shapeId="0">
      <text/>
    </comment>
    <comment ref="A1912" authorId="2" shapeId="0">
      <text>
        <r>
          <rPr>
            <sz val="11"/>
            <color theme="1"/>
            <rFont val="Calibri"/>
            <family val="2"/>
            <scheme val="minor"/>
          </rPr>
          <t>Introduzca un codigo UNSPSC</t>
        </r>
      </text>
    </comment>
    <comment ref="B1912" authorId="2" shapeId="0">
      <text>
        <r>
          <rPr>
            <sz val="11"/>
            <color theme="1"/>
            <rFont val="Calibri"/>
            <family val="2"/>
            <scheme val="minor"/>
          </rPr>
          <t>Descripción calculada automáticamente a partir de código del artículo</t>
        </r>
      </text>
    </comment>
    <comment ref="C1912" authorId="2" shapeId="0">
      <text>
        <r>
          <rPr>
            <sz val="11"/>
            <color theme="1"/>
            <rFont val="Calibri"/>
            <family val="2"/>
            <scheme val="minor"/>
          </rPr>
          <t>Seleccione un valor de la lista</t>
        </r>
      </text>
    </comment>
    <comment ref="D1912" authorId="2" shapeId="0">
      <text>
        <r>
          <rPr>
            <sz val="11"/>
            <color theme="1"/>
            <rFont val="Calibri"/>
            <family val="2"/>
            <scheme val="minor"/>
          </rPr>
          <t>Introduzca un número con dos decimales como máximo. Debe ser igual o mayor a la "Cantidad Real Consumida"</t>
        </r>
      </text>
    </comment>
    <comment ref="E1912" authorId="2" shapeId="0">
      <text>
        <r>
          <rPr>
            <sz val="11"/>
            <color theme="1"/>
            <rFont val="Calibri"/>
            <family val="2"/>
            <scheme val="minor"/>
          </rPr>
          <t>Introduzca un número con dos decimales como máximo</t>
        </r>
      </text>
    </comment>
    <comment ref="F1912" authorId="2" shapeId="0">
      <text>
        <r>
          <rPr>
            <sz val="11"/>
            <color theme="1"/>
            <rFont val="Calibri"/>
            <family val="2"/>
            <scheme val="minor"/>
          </rPr>
          <t>Monto calculado automáticamente por el sistema</t>
        </r>
      </text>
    </comment>
    <comment ref="A1918" authorId="1" shapeId="0">
      <text>
        <r>
          <rPr>
            <sz val="11"/>
            <color theme="1"/>
            <rFont val="Calibri"/>
            <family val="2"/>
            <scheme val="minor"/>
          </rPr>
          <t>Introducir un texto con el nombre o referencia de la contratación</t>
        </r>
      </text>
    </comment>
    <comment ref="B1918" authorId="1" shapeId="0">
      <text>
        <r>
          <rPr>
            <sz val="11"/>
            <color theme="1"/>
            <rFont val="Calibri"/>
            <family val="2"/>
            <scheme val="minor"/>
          </rPr>
          <t>Introduzca un texto con la finalidad de la contratación</t>
        </r>
      </text>
    </comment>
    <comment ref="C1918" authorId="1" shapeId="0">
      <text>
        <r>
          <rPr>
            <sz val="11"/>
            <color theme="1"/>
            <rFont val="Calibri"/>
            <family val="2"/>
            <scheme val="minor"/>
          </rPr>
          <t>Seleccionar un valor del listado</t>
        </r>
      </text>
    </comment>
    <comment ref="D1918" authorId="1" shapeId="0">
      <text>
        <r>
          <rPr>
            <sz val="11"/>
            <color theme="1"/>
            <rFont val="Calibri"/>
            <family val="2"/>
            <scheme val="minor"/>
          </rPr>
          <t>Seleccione el tipo de procedimiento</t>
        </r>
      </text>
    </comment>
    <comment ref="E1918" authorId="1" shapeId="0">
      <text>
        <r>
          <rPr>
            <sz val="11"/>
            <color theme="1"/>
            <rFont val="Calibri"/>
            <family val="2"/>
            <scheme val="minor"/>
          </rPr>
          <t>Seleccione un valor de la lista</t>
        </r>
      </text>
    </comment>
    <comment ref="F1918" authorId="2" shapeId="0">
      <text>
        <r>
          <rPr>
            <sz val="11"/>
            <color theme="1"/>
            <rFont val="Calibri"/>
            <family val="2"/>
            <scheme val="minor"/>
          </rPr>
          <t>Introduzca el código SNIP</t>
        </r>
      </text>
    </comment>
    <comment ref="C1919" authorId="2" shapeId="0">
      <text>
        <r>
          <rPr>
            <sz val="11"/>
            <color theme="1"/>
            <rFont val="Calibri"/>
            <family val="2"/>
            <scheme val="minor"/>
          </rPr>
          <t>Introduzca la fecha de inicio del proceso, en formato dd-mm-aaaa</t>
        </r>
      </text>
    </comment>
    <comment ref="F19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0" authorId="2" shapeId="0">
      <text/>
    </comment>
    <comment ref="C1921" authorId="2" shapeId="0">
      <text>
        <r>
          <rPr>
            <sz val="11"/>
            <color theme="1"/>
            <rFont val="Calibri"/>
            <family val="2"/>
            <scheme val="minor"/>
          </rPr>
          <t>Introduzca la fecha prevista de adjudicación, en formato dd-mm-aaaa</t>
        </r>
      </text>
    </comment>
    <comment ref="F1921" authorId="2" shapeId="0">
      <text/>
    </comment>
    <comment ref="F1922" authorId="2" shapeId="0">
      <text/>
    </comment>
    <comment ref="A1924" authorId="2" shapeId="0">
      <text>
        <r>
          <rPr>
            <sz val="11"/>
            <color theme="1"/>
            <rFont val="Calibri"/>
            <family val="2"/>
            <scheme val="minor"/>
          </rPr>
          <t>Introduzca un codigo UNSPSC</t>
        </r>
      </text>
    </comment>
    <comment ref="B1924" authorId="2" shapeId="0">
      <text>
        <r>
          <rPr>
            <sz val="11"/>
            <color theme="1"/>
            <rFont val="Calibri"/>
            <family val="2"/>
            <scheme val="minor"/>
          </rPr>
          <t>Descripción calculada automáticamente a partir de código del artículo</t>
        </r>
      </text>
    </comment>
    <comment ref="C1924" authorId="2" shapeId="0">
      <text>
        <r>
          <rPr>
            <sz val="11"/>
            <color theme="1"/>
            <rFont val="Calibri"/>
            <family val="2"/>
            <scheme val="minor"/>
          </rPr>
          <t>Seleccione un valor de la lista</t>
        </r>
      </text>
    </comment>
    <comment ref="D1924" authorId="2" shapeId="0">
      <text>
        <r>
          <rPr>
            <sz val="11"/>
            <color theme="1"/>
            <rFont val="Calibri"/>
            <family val="2"/>
            <scheme val="minor"/>
          </rPr>
          <t>Introduzca un número con dos decimales como máximo. Debe ser igual o mayor a la "Cantidad Real Consumida"</t>
        </r>
      </text>
    </comment>
    <comment ref="E1924" authorId="2" shapeId="0">
      <text>
        <r>
          <rPr>
            <sz val="11"/>
            <color theme="1"/>
            <rFont val="Calibri"/>
            <family val="2"/>
            <scheme val="minor"/>
          </rPr>
          <t>Introduzca un número con dos decimales como máximo</t>
        </r>
      </text>
    </comment>
    <comment ref="F1924" authorId="2" shapeId="0">
      <text>
        <r>
          <rPr>
            <sz val="11"/>
            <color theme="1"/>
            <rFont val="Calibri"/>
            <family val="2"/>
            <scheme val="minor"/>
          </rPr>
          <t>Monto calculado automáticamente por el sistema</t>
        </r>
      </text>
    </comment>
    <comment ref="A1929" authorId="1" shapeId="0">
      <text>
        <r>
          <rPr>
            <sz val="11"/>
            <color theme="1"/>
            <rFont val="Calibri"/>
            <family val="2"/>
            <scheme val="minor"/>
          </rPr>
          <t>Introducir un texto con el nombre o referencia de la contratación</t>
        </r>
      </text>
    </comment>
    <comment ref="B1929" authorId="1" shapeId="0">
      <text>
        <r>
          <rPr>
            <sz val="11"/>
            <color theme="1"/>
            <rFont val="Calibri"/>
            <family val="2"/>
            <scheme val="minor"/>
          </rPr>
          <t>Introduzca un texto con la finalidad de la contratación</t>
        </r>
      </text>
    </comment>
    <comment ref="C1929" authorId="1" shapeId="0">
      <text>
        <r>
          <rPr>
            <sz val="11"/>
            <color theme="1"/>
            <rFont val="Calibri"/>
            <family val="2"/>
            <scheme val="minor"/>
          </rPr>
          <t>Seleccionar un valor del listado</t>
        </r>
      </text>
    </comment>
    <comment ref="D1929" authorId="1" shapeId="0">
      <text>
        <r>
          <rPr>
            <sz val="11"/>
            <color theme="1"/>
            <rFont val="Calibri"/>
            <family val="2"/>
            <scheme val="minor"/>
          </rPr>
          <t>Seleccione el tipo de procedimiento</t>
        </r>
      </text>
    </comment>
    <comment ref="E1929" authorId="1" shapeId="0">
      <text>
        <r>
          <rPr>
            <sz val="11"/>
            <color theme="1"/>
            <rFont val="Calibri"/>
            <family val="2"/>
            <scheme val="minor"/>
          </rPr>
          <t>Seleccione un valor de la lista</t>
        </r>
      </text>
    </comment>
    <comment ref="F1929" authorId="2" shapeId="0">
      <text>
        <r>
          <rPr>
            <sz val="11"/>
            <color theme="1"/>
            <rFont val="Calibri"/>
            <family val="2"/>
            <scheme val="minor"/>
          </rPr>
          <t>Introduzca el código SNIP</t>
        </r>
      </text>
    </comment>
    <comment ref="C1930" authorId="2" shapeId="0">
      <text>
        <r>
          <rPr>
            <sz val="11"/>
            <color theme="1"/>
            <rFont val="Calibri"/>
            <family val="2"/>
            <scheme val="minor"/>
          </rPr>
          <t>Introduzca la fecha de inicio del proceso, en formato dd-mm-aaaa</t>
        </r>
      </text>
    </comment>
    <comment ref="F19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1" authorId="2" shapeId="0">
      <text/>
    </comment>
    <comment ref="C1932" authorId="2" shapeId="0">
      <text>
        <r>
          <rPr>
            <sz val="11"/>
            <color theme="1"/>
            <rFont val="Calibri"/>
            <family val="2"/>
            <scheme val="minor"/>
          </rPr>
          <t>Introduzca la fecha prevista de adjudicación, en formato dd-mm-aaaa</t>
        </r>
      </text>
    </comment>
    <comment ref="F1932" authorId="2" shapeId="0">
      <text/>
    </comment>
    <comment ref="F1933" authorId="2" shapeId="0">
      <text/>
    </comment>
    <comment ref="A1935" authorId="2" shapeId="0">
      <text>
        <r>
          <rPr>
            <sz val="11"/>
            <color theme="1"/>
            <rFont val="Calibri"/>
            <family val="2"/>
            <scheme val="minor"/>
          </rPr>
          <t>Introduzca un codigo UNSPSC</t>
        </r>
      </text>
    </comment>
    <comment ref="B1935" authorId="2" shapeId="0">
      <text>
        <r>
          <rPr>
            <sz val="11"/>
            <color theme="1"/>
            <rFont val="Calibri"/>
            <family val="2"/>
            <scheme val="minor"/>
          </rPr>
          <t>Descripción calculada automáticamente a partir de código del artículo</t>
        </r>
      </text>
    </comment>
    <comment ref="C1935" authorId="2" shapeId="0">
      <text>
        <r>
          <rPr>
            <sz val="11"/>
            <color theme="1"/>
            <rFont val="Calibri"/>
            <family val="2"/>
            <scheme val="minor"/>
          </rPr>
          <t>Seleccione un valor de la lista</t>
        </r>
      </text>
    </comment>
    <comment ref="D1935" authorId="2" shapeId="0">
      <text>
        <r>
          <rPr>
            <sz val="11"/>
            <color theme="1"/>
            <rFont val="Calibri"/>
            <family val="2"/>
            <scheme val="minor"/>
          </rPr>
          <t>Introduzca un número con dos decimales como máximo. Debe ser igual o mayor a la "Cantidad Real Consumida"</t>
        </r>
      </text>
    </comment>
    <comment ref="E1935" authorId="2" shapeId="0">
      <text>
        <r>
          <rPr>
            <sz val="11"/>
            <color theme="1"/>
            <rFont val="Calibri"/>
            <family val="2"/>
            <scheme val="minor"/>
          </rPr>
          <t>Introduzca un número con dos decimales como máximo</t>
        </r>
      </text>
    </comment>
    <comment ref="F1935" authorId="2" shapeId="0">
      <text>
        <r>
          <rPr>
            <sz val="11"/>
            <color theme="1"/>
            <rFont val="Calibri"/>
            <family val="2"/>
            <scheme val="minor"/>
          </rPr>
          <t>Monto calculado automáticamente por el sistema</t>
        </r>
      </text>
    </comment>
    <comment ref="A1940" authorId="2" shapeId="0">
      <text>
        <r>
          <rPr>
            <sz val="11"/>
            <color theme="1"/>
            <rFont val="Calibri"/>
            <family val="2"/>
            <scheme val="minor"/>
          </rPr>
          <t>Introducir un texto con el nombre o referencia de la contratación</t>
        </r>
      </text>
    </comment>
    <comment ref="B1940" authorId="2" shapeId="0">
      <text>
        <r>
          <rPr>
            <sz val="11"/>
            <color theme="1"/>
            <rFont val="Calibri"/>
            <family val="2"/>
            <scheme val="minor"/>
          </rPr>
          <t>Introduzca un texto con la finalidad de la contratación</t>
        </r>
      </text>
    </comment>
    <comment ref="C1940" authorId="2" shapeId="0">
      <text>
        <r>
          <rPr>
            <sz val="11"/>
            <color theme="1"/>
            <rFont val="Calibri"/>
            <family val="2"/>
            <scheme val="minor"/>
          </rPr>
          <t>Seleccionar un valor del listado</t>
        </r>
      </text>
    </comment>
    <comment ref="D1940" authorId="2" shapeId="0">
      <text>
        <r>
          <rPr>
            <sz val="11"/>
            <color theme="1"/>
            <rFont val="Calibri"/>
            <family val="2"/>
            <scheme val="minor"/>
          </rPr>
          <t>Seleccione el tipo de procedimiento</t>
        </r>
      </text>
    </comment>
    <comment ref="E1940" authorId="2" shapeId="0">
      <text>
        <r>
          <rPr>
            <sz val="11"/>
            <color theme="1"/>
            <rFont val="Calibri"/>
            <family val="2"/>
            <scheme val="minor"/>
          </rPr>
          <t>Seleccione un valor de la lista</t>
        </r>
      </text>
    </comment>
    <comment ref="F1940" authorId="2" shapeId="0">
      <text>
        <r>
          <rPr>
            <sz val="11"/>
            <color theme="1"/>
            <rFont val="Calibri"/>
            <family val="2"/>
            <scheme val="minor"/>
          </rPr>
          <t>Introduzca el código SNIP</t>
        </r>
      </text>
    </comment>
    <comment ref="C1941" authorId="2" shapeId="0">
      <text>
        <r>
          <rPr>
            <sz val="11"/>
            <color theme="1"/>
            <rFont val="Calibri"/>
            <family val="2"/>
            <scheme val="minor"/>
          </rPr>
          <t>Introduzca la fecha de inicio del proceso, en formato dd-mm-aaaa</t>
        </r>
      </text>
    </comment>
    <comment ref="F19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2" authorId="2" shapeId="0">
      <text/>
    </comment>
    <comment ref="C1943" authorId="2" shapeId="0">
      <text>
        <r>
          <rPr>
            <sz val="11"/>
            <color theme="1"/>
            <rFont val="Calibri"/>
            <family val="2"/>
            <scheme val="minor"/>
          </rPr>
          <t>Introduzca la fecha prevista de adjudicación, en formato dd-mm-aaaa</t>
        </r>
      </text>
    </comment>
    <comment ref="F1943" authorId="2" shapeId="0">
      <text/>
    </comment>
    <comment ref="F1944" authorId="2" shapeId="0">
      <text/>
    </comment>
    <comment ref="A1946" authorId="2" shapeId="0">
      <text>
        <r>
          <rPr>
            <sz val="11"/>
            <color theme="1"/>
            <rFont val="Calibri"/>
            <family val="2"/>
            <scheme val="minor"/>
          </rPr>
          <t>Introduzca un codigo UNSPSC</t>
        </r>
      </text>
    </comment>
    <comment ref="B1946" authorId="2" shapeId="0">
      <text>
        <r>
          <rPr>
            <sz val="11"/>
            <color theme="1"/>
            <rFont val="Calibri"/>
            <family val="2"/>
            <scheme val="minor"/>
          </rPr>
          <t>Descripción calculada automáticamente a partir de código del artículo</t>
        </r>
      </text>
    </comment>
    <comment ref="C1946" authorId="2" shapeId="0">
      <text>
        <r>
          <rPr>
            <sz val="11"/>
            <color theme="1"/>
            <rFont val="Calibri"/>
            <family val="2"/>
            <scheme val="minor"/>
          </rPr>
          <t>Seleccione un valor de la lista</t>
        </r>
      </text>
    </comment>
    <comment ref="D1946" authorId="2" shapeId="0">
      <text>
        <r>
          <rPr>
            <sz val="11"/>
            <color theme="1"/>
            <rFont val="Calibri"/>
            <family val="2"/>
            <scheme val="minor"/>
          </rPr>
          <t>Introduzca un número con dos decimales como máximo. Debe ser igual o mayor a la "Cantidad Real Consumida"</t>
        </r>
      </text>
    </comment>
    <comment ref="E1946" authorId="2" shapeId="0">
      <text>
        <r>
          <rPr>
            <sz val="11"/>
            <color theme="1"/>
            <rFont val="Calibri"/>
            <family val="2"/>
            <scheme val="minor"/>
          </rPr>
          <t>Introduzca un número con dos decimales como máximo</t>
        </r>
      </text>
    </comment>
    <comment ref="F1946" authorId="2" shapeId="0">
      <text>
        <r>
          <rPr>
            <sz val="11"/>
            <color theme="1"/>
            <rFont val="Calibri"/>
            <family val="2"/>
            <scheme val="minor"/>
          </rPr>
          <t>Monto calculado automáticamente por el sistema</t>
        </r>
      </text>
    </comment>
    <comment ref="A1951" authorId="1" shapeId="0">
      <text>
        <r>
          <rPr>
            <sz val="11"/>
            <color theme="1"/>
            <rFont val="Calibri"/>
            <family val="2"/>
            <scheme val="minor"/>
          </rPr>
          <t>Introducir un texto con el nombre o referencia de la contratación</t>
        </r>
      </text>
    </comment>
    <comment ref="B1951" authorId="1" shapeId="0">
      <text>
        <r>
          <rPr>
            <sz val="11"/>
            <color theme="1"/>
            <rFont val="Calibri"/>
            <family val="2"/>
            <scheme val="minor"/>
          </rPr>
          <t>Introduzca un texto con la finalidad de la contratación</t>
        </r>
      </text>
    </comment>
    <comment ref="C1951" authorId="1" shapeId="0">
      <text>
        <r>
          <rPr>
            <sz val="11"/>
            <color theme="1"/>
            <rFont val="Calibri"/>
            <family val="2"/>
            <scheme val="minor"/>
          </rPr>
          <t>Seleccionar un valor del listado</t>
        </r>
      </text>
    </comment>
    <comment ref="D1951" authorId="1" shapeId="0">
      <text>
        <r>
          <rPr>
            <sz val="11"/>
            <color theme="1"/>
            <rFont val="Calibri"/>
            <family val="2"/>
            <scheme val="minor"/>
          </rPr>
          <t>Seleccione el tipo de procedimiento</t>
        </r>
      </text>
    </comment>
    <comment ref="E1951" authorId="1" shapeId="0">
      <text>
        <r>
          <rPr>
            <sz val="11"/>
            <color theme="1"/>
            <rFont val="Calibri"/>
            <family val="2"/>
            <scheme val="minor"/>
          </rPr>
          <t>Seleccione un valor de la lista</t>
        </r>
      </text>
    </comment>
    <comment ref="F1951" authorId="2" shapeId="0">
      <text>
        <r>
          <rPr>
            <sz val="11"/>
            <color theme="1"/>
            <rFont val="Calibri"/>
            <family val="2"/>
            <scheme val="minor"/>
          </rPr>
          <t>Introduzca el código SNIP</t>
        </r>
      </text>
    </comment>
    <comment ref="C1952" authorId="2" shapeId="0">
      <text>
        <r>
          <rPr>
            <sz val="11"/>
            <color theme="1"/>
            <rFont val="Calibri"/>
            <family val="2"/>
            <scheme val="minor"/>
          </rPr>
          <t>Introduzca la fecha de inicio del proceso, en formato dd-mm-aaaa</t>
        </r>
      </text>
    </comment>
    <comment ref="F19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2" shapeId="0">
      <text/>
    </comment>
    <comment ref="C1954" authorId="2" shapeId="0">
      <text>
        <r>
          <rPr>
            <sz val="11"/>
            <color theme="1"/>
            <rFont val="Calibri"/>
            <family val="2"/>
            <scheme val="minor"/>
          </rPr>
          <t>Introduzca la fecha prevista de adjudicación, en formato dd-mm-aaaa</t>
        </r>
      </text>
    </comment>
    <comment ref="F1954" authorId="2" shapeId="0">
      <text/>
    </comment>
    <comment ref="F1955" authorId="2" shapeId="0">
      <text/>
    </comment>
    <comment ref="A1957" authorId="2" shapeId="0">
      <text>
        <r>
          <rPr>
            <sz val="11"/>
            <color theme="1"/>
            <rFont val="Calibri"/>
            <family val="2"/>
            <scheme val="minor"/>
          </rPr>
          <t>Introduzca un codigo UNSPSC</t>
        </r>
      </text>
    </comment>
    <comment ref="B1957" authorId="2" shapeId="0">
      <text>
        <r>
          <rPr>
            <sz val="11"/>
            <color theme="1"/>
            <rFont val="Calibri"/>
            <family val="2"/>
            <scheme val="minor"/>
          </rPr>
          <t>Descripción calculada automáticamente a partir de código del artículo</t>
        </r>
      </text>
    </comment>
    <comment ref="C1957" authorId="2" shapeId="0">
      <text>
        <r>
          <rPr>
            <sz val="11"/>
            <color theme="1"/>
            <rFont val="Calibri"/>
            <family val="2"/>
            <scheme val="minor"/>
          </rPr>
          <t>Seleccione un valor de la lista</t>
        </r>
      </text>
    </comment>
    <comment ref="D1957" authorId="2" shapeId="0">
      <text>
        <r>
          <rPr>
            <sz val="11"/>
            <color theme="1"/>
            <rFont val="Calibri"/>
            <family val="2"/>
            <scheme val="minor"/>
          </rPr>
          <t>Introduzca un número con dos decimales como máximo. Debe ser igual o mayor a la "Cantidad Real Consumida"</t>
        </r>
      </text>
    </comment>
    <comment ref="E1957" authorId="2" shapeId="0">
      <text>
        <r>
          <rPr>
            <sz val="11"/>
            <color theme="1"/>
            <rFont val="Calibri"/>
            <family val="2"/>
            <scheme val="minor"/>
          </rPr>
          <t>Introduzca un número con dos decimales como máximo</t>
        </r>
      </text>
    </comment>
    <comment ref="F1957" authorId="2" shapeId="0">
      <text>
        <r>
          <rPr>
            <sz val="11"/>
            <color theme="1"/>
            <rFont val="Calibri"/>
            <family val="2"/>
            <scheme val="minor"/>
          </rPr>
          <t>Monto calculado automáticamente por el sistema</t>
        </r>
      </text>
    </comment>
    <comment ref="A1962" authorId="1" shapeId="0">
      <text>
        <r>
          <rPr>
            <sz val="11"/>
            <color theme="1"/>
            <rFont val="Calibri"/>
            <family val="2"/>
            <scheme val="minor"/>
          </rPr>
          <t>Introducir un texto con el nombre o referencia de la contratación</t>
        </r>
      </text>
    </comment>
    <comment ref="B1962" authorId="1" shapeId="0">
      <text>
        <r>
          <rPr>
            <sz val="11"/>
            <color theme="1"/>
            <rFont val="Calibri"/>
            <family val="2"/>
            <scheme val="minor"/>
          </rPr>
          <t>Introduzca un texto con la finalidad de la contratación</t>
        </r>
      </text>
    </comment>
    <comment ref="C1962" authorId="1" shapeId="0">
      <text>
        <r>
          <rPr>
            <sz val="11"/>
            <color theme="1"/>
            <rFont val="Calibri"/>
            <family val="2"/>
            <scheme val="minor"/>
          </rPr>
          <t>Seleccionar un valor del listado</t>
        </r>
      </text>
    </comment>
    <comment ref="D1962" authorId="1" shapeId="0">
      <text>
        <r>
          <rPr>
            <sz val="11"/>
            <color theme="1"/>
            <rFont val="Calibri"/>
            <family val="2"/>
            <scheme val="minor"/>
          </rPr>
          <t>Seleccione el tipo de procedimiento</t>
        </r>
      </text>
    </comment>
    <comment ref="E1962" authorId="1" shapeId="0">
      <text>
        <r>
          <rPr>
            <sz val="11"/>
            <color theme="1"/>
            <rFont val="Calibri"/>
            <family val="2"/>
            <scheme val="minor"/>
          </rPr>
          <t>Seleccione un valor de la lista</t>
        </r>
      </text>
    </comment>
    <comment ref="F1962" authorId="2" shapeId="0">
      <text>
        <r>
          <rPr>
            <sz val="11"/>
            <color theme="1"/>
            <rFont val="Calibri"/>
            <family val="2"/>
            <scheme val="minor"/>
          </rPr>
          <t>Introduzca el código SNIP</t>
        </r>
      </text>
    </comment>
    <comment ref="C1963" authorId="2" shapeId="0">
      <text>
        <r>
          <rPr>
            <sz val="11"/>
            <color theme="1"/>
            <rFont val="Calibri"/>
            <family val="2"/>
            <scheme val="minor"/>
          </rPr>
          <t>Introduzca la fecha de inicio del proceso, en formato dd-mm-aaaa</t>
        </r>
      </text>
    </comment>
    <comment ref="F19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2" shapeId="0">
      <text/>
    </comment>
    <comment ref="C1965" authorId="2" shapeId="0">
      <text>
        <r>
          <rPr>
            <sz val="11"/>
            <color theme="1"/>
            <rFont val="Calibri"/>
            <family val="2"/>
            <scheme val="minor"/>
          </rPr>
          <t>Introduzca la fecha prevista de adjudicación, en formato dd-mm-aaaa</t>
        </r>
      </text>
    </comment>
    <comment ref="F1965" authorId="2" shapeId="0">
      <text/>
    </comment>
    <comment ref="F1966" authorId="2" shapeId="0">
      <text/>
    </comment>
    <comment ref="A1968" authorId="2" shapeId="0">
      <text>
        <r>
          <rPr>
            <sz val="11"/>
            <color theme="1"/>
            <rFont val="Calibri"/>
            <family val="2"/>
            <scheme val="minor"/>
          </rPr>
          <t>Introduzca un codigo UNSPSC</t>
        </r>
      </text>
    </comment>
    <comment ref="B1968" authorId="2" shapeId="0">
      <text>
        <r>
          <rPr>
            <sz val="11"/>
            <color theme="1"/>
            <rFont val="Calibri"/>
            <family val="2"/>
            <scheme val="minor"/>
          </rPr>
          <t>Descripción calculada automáticamente a partir de código del artículo</t>
        </r>
      </text>
    </comment>
    <comment ref="C1968" authorId="2" shapeId="0">
      <text>
        <r>
          <rPr>
            <sz val="11"/>
            <color theme="1"/>
            <rFont val="Calibri"/>
            <family val="2"/>
            <scheme val="minor"/>
          </rPr>
          <t>Seleccione un valor de la lista</t>
        </r>
      </text>
    </comment>
    <comment ref="D1968" authorId="2" shapeId="0">
      <text>
        <r>
          <rPr>
            <sz val="11"/>
            <color theme="1"/>
            <rFont val="Calibri"/>
            <family val="2"/>
            <scheme val="minor"/>
          </rPr>
          <t>Introduzca un número con dos decimales como máximo. Debe ser igual o mayor a la "Cantidad Real Consumida"</t>
        </r>
      </text>
    </comment>
    <comment ref="E1968" authorId="2" shapeId="0">
      <text>
        <r>
          <rPr>
            <sz val="11"/>
            <color theme="1"/>
            <rFont val="Calibri"/>
            <family val="2"/>
            <scheme val="minor"/>
          </rPr>
          <t>Introduzca un número con dos decimales como máximo</t>
        </r>
      </text>
    </comment>
    <comment ref="F1968" authorId="2" shapeId="0">
      <text>
        <r>
          <rPr>
            <sz val="11"/>
            <color theme="1"/>
            <rFont val="Calibri"/>
            <family val="2"/>
            <scheme val="minor"/>
          </rPr>
          <t>Monto calculado automáticamente por el sistema</t>
        </r>
      </text>
    </comment>
    <comment ref="A1973" authorId="2" shapeId="0">
      <text>
        <r>
          <rPr>
            <sz val="11"/>
            <color theme="1"/>
            <rFont val="Calibri"/>
            <family val="2"/>
            <scheme val="minor"/>
          </rPr>
          <t>Introducir un texto con el nombre o referencia de la contratación</t>
        </r>
      </text>
    </comment>
    <comment ref="B1973" authorId="2" shapeId="0">
      <text>
        <r>
          <rPr>
            <sz val="11"/>
            <color theme="1"/>
            <rFont val="Calibri"/>
            <family val="2"/>
            <scheme val="minor"/>
          </rPr>
          <t>Introduzca un texto con la finalidad de la contratación</t>
        </r>
      </text>
    </comment>
    <comment ref="C1973" authorId="2" shapeId="0">
      <text>
        <r>
          <rPr>
            <sz val="11"/>
            <color theme="1"/>
            <rFont val="Calibri"/>
            <family val="2"/>
            <scheme val="minor"/>
          </rPr>
          <t>Seleccionar un valor del listado</t>
        </r>
      </text>
    </comment>
    <comment ref="D1973" authorId="2" shapeId="0">
      <text>
        <r>
          <rPr>
            <sz val="11"/>
            <color theme="1"/>
            <rFont val="Calibri"/>
            <family val="2"/>
            <scheme val="minor"/>
          </rPr>
          <t>Seleccione el tipo de procedimiento</t>
        </r>
      </text>
    </comment>
    <comment ref="E1973" authorId="2" shapeId="0">
      <text>
        <r>
          <rPr>
            <sz val="11"/>
            <color theme="1"/>
            <rFont val="Calibri"/>
            <family val="2"/>
            <scheme val="minor"/>
          </rPr>
          <t>Seleccione un valor de la lista</t>
        </r>
      </text>
    </comment>
    <comment ref="F1973" authorId="2" shapeId="0">
      <text>
        <r>
          <rPr>
            <sz val="11"/>
            <color theme="1"/>
            <rFont val="Calibri"/>
            <family val="2"/>
            <scheme val="minor"/>
          </rPr>
          <t>Introduzca el código SNIP</t>
        </r>
      </text>
    </comment>
    <comment ref="C1974" authorId="2" shapeId="0">
      <text>
        <r>
          <rPr>
            <sz val="11"/>
            <color theme="1"/>
            <rFont val="Calibri"/>
            <family val="2"/>
            <scheme val="minor"/>
          </rPr>
          <t>Introduzca la fecha de inicio del proceso, en formato dd-mm-aaaa</t>
        </r>
      </text>
    </comment>
    <comment ref="F19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2" shapeId="0">
      <text/>
    </comment>
    <comment ref="C1976" authorId="2" shapeId="0">
      <text>
        <r>
          <rPr>
            <sz val="11"/>
            <color theme="1"/>
            <rFont val="Calibri"/>
            <family val="2"/>
            <scheme val="minor"/>
          </rPr>
          <t>Introduzca la fecha prevista de adjudicación, en formato dd-mm-aaaa</t>
        </r>
      </text>
    </comment>
    <comment ref="F1976" authorId="2" shapeId="0">
      <text/>
    </comment>
    <comment ref="F1977" authorId="2" shapeId="0">
      <text/>
    </comment>
    <comment ref="A1979" authorId="2" shapeId="0">
      <text>
        <r>
          <rPr>
            <sz val="11"/>
            <color theme="1"/>
            <rFont val="Calibri"/>
            <family val="2"/>
            <scheme val="minor"/>
          </rPr>
          <t>Introduzca un codigo UNSPSC</t>
        </r>
      </text>
    </comment>
    <comment ref="B1979" authorId="2" shapeId="0">
      <text>
        <r>
          <rPr>
            <sz val="11"/>
            <color theme="1"/>
            <rFont val="Calibri"/>
            <family val="2"/>
            <scheme val="minor"/>
          </rPr>
          <t>Descripción calculada automáticamente a partir de código del artículo</t>
        </r>
      </text>
    </comment>
    <comment ref="C1979" authorId="2" shapeId="0">
      <text>
        <r>
          <rPr>
            <sz val="11"/>
            <color theme="1"/>
            <rFont val="Calibri"/>
            <family val="2"/>
            <scheme val="minor"/>
          </rPr>
          <t>Seleccione un valor de la lista</t>
        </r>
      </text>
    </comment>
    <comment ref="D1979" authorId="2" shapeId="0">
      <text>
        <r>
          <rPr>
            <sz val="11"/>
            <color theme="1"/>
            <rFont val="Calibri"/>
            <family val="2"/>
            <scheme val="minor"/>
          </rPr>
          <t>Introduzca un número con dos decimales como máximo. Debe ser igual o mayor a la "Cantidad Real Consumida"</t>
        </r>
      </text>
    </comment>
    <comment ref="E1979" authorId="2" shapeId="0">
      <text>
        <r>
          <rPr>
            <sz val="11"/>
            <color theme="1"/>
            <rFont val="Calibri"/>
            <family val="2"/>
            <scheme val="minor"/>
          </rPr>
          <t>Introduzca un número con dos decimales como máximo</t>
        </r>
      </text>
    </comment>
    <comment ref="F1979" authorId="2" shapeId="0">
      <text>
        <r>
          <rPr>
            <sz val="11"/>
            <color theme="1"/>
            <rFont val="Calibri"/>
            <family val="2"/>
            <scheme val="minor"/>
          </rPr>
          <t>Monto calculado automáticamente por el sistema</t>
        </r>
      </text>
    </comment>
    <comment ref="A1984" authorId="1" shapeId="0">
      <text>
        <r>
          <rPr>
            <sz val="11"/>
            <color theme="1"/>
            <rFont val="Calibri"/>
            <family val="2"/>
            <scheme val="minor"/>
          </rPr>
          <t>Introducir un texto con el nombre o referencia de la contratación</t>
        </r>
      </text>
    </comment>
    <comment ref="B1984" authorId="1" shapeId="0">
      <text>
        <r>
          <rPr>
            <sz val="11"/>
            <color theme="1"/>
            <rFont val="Calibri"/>
            <family val="2"/>
            <scheme val="minor"/>
          </rPr>
          <t>Introduzca un texto con la finalidad de la contratación</t>
        </r>
      </text>
    </comment>
    <comment ref="C1984" authorId="1" shapeId="0">
      <text>
        <r>
          <rPr>
            <sz val="11"/>
            <color theme="1"/>
            <rFont val="Calibri"/>
            <family val="2"/>
            <scheme val="minor"/>
          </rPr>
          <t>Seleccionar un valor del listado</t>
        </r>
      </text>
    </comment>
    <comment ref="D1984" authorId="1" shapeId="0">
      <text>
        <r>
          <rPr>
            <sz val="11"/>
            <color theme="1"/>
            <rFont val="Calibri"/>
            <family val="2"/>
            <scheme val="minor"/>
          </rPr>
          <t>Seleccione el tipo de procedimiento</t>
        </r>
      </text>
    </comment>
    <comment ref="E1984" authorId="1" shapeId="0">
      <text>
        <r>
          <rPr>
            <sz val="11"/>
            <color theme="1"/>
            <rFont val="Calibri"/>
            <family val="2"/>
            <scheme val="minor"/>
          </rPr>
          <t>Seleccione un valor de la lista</t>
        </r>
      </text>
    </comment>
    <comment ref="F1984" authorId="2" shapeId="0">
      <text>
        <r>
          <rPr>
            <sz val="11"/>
            <color theme="1"/>
            <rFont val="Calibri"/>
            <family val="2"/>
            <scheme val="minor"/>
          </rPr>
          <t>Introduzca el código SNIP</t>
        </r>
      </text>
    </comment>
    <comment ref="C1985" authorId="2" shapeId="0">
      <text>
        <r>
          <rPr>
            <sz val="11"/>
            <color theme="1"/>
            <rFont val="Calibri"/>
            <family val="2"/>
            <scheme val="minor"/>
          </rPr>
          <t>Introduzca la fecha de inicio del proceso, en formato dd-mm-aaaa</t>
        </r>
      </text>
    </comment>
    <comment ref="F19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6" authorId="2" shapeId="0">
      <text/>
    </comment>
    <comment ref="C1987" authorId="2" shapeId="0">
      <text>
        <r>
          <rPr>
            <sz val="11"/>
            <color theme="1"/>
            <rFont val="Calibri"/>
            <family val="2"/>
            <scheme val="minor"/>
          </rPr>
          <t>Introduzca la fecha prevista de adjudicación, en formato dd-mm-aaaa</t>
        </r>
      </text>
    </comment>
    <comment ref="F1987" authorId="2" shapeId="0">
      <text/>
    </comment>
    <comment ref="F1988" authorId="2" shapeId="0">
      <text/>
    </comment>
    <comment ref="A1990" authorId="2" shapeId="0">
      <text>
        <r>
          <rPr>
            <sz val="11"/>
            <color theme="1"/>
            <rFont val="Calibri"/>
            <family val="2"/>
            <scheme val="minor"/>
          </rPr>
          <t>Introduzca un codigo UNSPSC</t>
        </r>
      </text>
    </comment>
    <comment ref="B1990" authorId="2" shapeId="0">
      <text>
        <r>
          <rPr>
            <sz val="11"/>
            <color theme="1"/>
            <rFont val="Calibri"/>
            <family val="2"/>
            <scheme val="minor"/>
          </rPr>
          <t>Descripción calculada automáticamente a partir de código del artículo</t>
        </r>
      </text>
    </comment>
    <comment ref="C1990" authorId="2" shapeId="0">
      <text>
        <r>
          <rPr>
            <sz val="11"/>
            <color theme="1"/>
            <rFont val="Calibri"/>
            <family val="2"/>
            <scheme val="minor"/>
          </rPr>
          <t>Seleccione un valor de la lista</t>
        </r>
      </text>
    </comment>
    <comment ref="D1990" authorId="2" shapeId="0">
      <text>
        <r>
          <rPr>
            <sz val="11"/>
            <color theme="1"/>
            <rFont val="Calibri"/>
            <family val="2"/>
            <scheme val="minor"/>
          </rPr>
          <t>Introduzca un número con dos decimales como máximo. Debe ser igual o mayor a la "Cantidad Real Consumida"</t>
        </r>
      </text>
    </comment>
    <comment ref="E1990" authorId="2" shapeId="0">
      <text>
        <r>
          <rPr>
            <sz val="11"/>
            <color theme="1"/>
            <rFont val="Calibri"/>
            <family val="2"/>
            <scheme val="minor"/>
          </rPr>
          <t>Introduzca un número con dos decimales como máximo</t>
        </r>
      </text>
    </comment>
    <comment ref="F1990" authorId="2" shapeId="0">
      <text>
        <r>
          <rPr>
            <sz val="11"/>
            <color theme="1"/>
            <rFont val="Calibri"/>
            <family val="2"/>
            <scheme val="minor"/>
          </rPr>
          <t>Monto calculado automáticamente por el sistema</t>
        </r>
      </text>
    </comment>
    <comment ref="A1995" authorId="1" shapeId="0">
      <text>
        <r>
          <rPr>
            <sz val="11"/>
            <color theme="1"/>
            <rFont val="Calibri"/>
            <family val="2"/>
            <scheme val="minor"/>
          </rPr>
          <t>Introducir un texto con el nombre o referencia de la contratación</t>
        </r>
      </text>
    </comment>
    <comment ref="B1995" authorId="1" shapeId="0">
      <text>
        <r>
          <rPr>
            <sz val="11"/>
            <color theme="1"/>
            <rFont val="Calibri"/>
            <family val="2"/>
            <scheme val="minor"/>
          </rPr>
          <t>Introduzca un texto con la finalidad de la contratación</t>
        </r>
      </text>
    </comment>
    <comment ref="C1995" authorId="1" shapeId="0">
      <text>
        <r>
          <rPr>
            <sz val="11"/>
            <color theme="1"/>
            <rFont val="Calibri"/>
            <family val="2"/>
            <scheme val="minor"/>
          </rPr>
          <t>Seleccionar un valor del listado</t>
        </r>
      </text>
    </comment>
    <comment ref="D1995" authorId="1" shapeId="0">
      <text>
        <r>
          <rPr>
            <sz val="11"/>
            <color theme="1"/>
            <rFont val="Calibri"/>
            <family val="2"/>
            <scheme val="minor"/>
          </rPr>
          <t>Seleccione el tipo de procedimiento</t>
        </r>
      </text>
    </comment>
    <comment ref="E1995" authorId="1" shapeId="0">
      <text>
        <r>
          <rPr>
            <sz val="11"/>
            <color theme="1"/>
            <rFont val="Calibri"/>
            <family val="2"/>
            <scheme val="minor"/>
          </rPr>
          <t>Seleccione un valor de la lista</t>
        </r>
      </text>
    </comment>
    <comment ref="F1995" authorId="2" shapeId="0">
      <text>
        <r>
          <rPr>
            <sz val="11"/>
            <color theme="1"/>
            <rFont val="Calibri"/>
            <family val="2"/>
            <scheme val="minor"/>
          </rPr>
          <t>Introduzca el código SNIP</t>
        </r>
      </text>
    </comment>
    <comment ref="C1996" authorId="2" shapeId="0">
      <text>
        <r>
          <rPr>
            <sz val="11"/>
            <color theme="1"/>
            <rFont val="Calibri"/>
            <family val="2"/>
            <scheme val="minor"/>
          </rPr>
          <t>Introduzca la fecha de inicio del proceso, en formato dd-mm-aaaa</t>
        </r>
      </text>
    </comment>
    <comment ref="F19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7" authorId="2" shapeId="0">
      <text/>
    </comment>
    <comment ref="C1998" authorId="2" shapeId="0">
      <text>
        <r>
          <rPr>
            <sz val="11"/>
            <color theme="1"/>
            <rFont val="Calibri"/>
            <family val="2"/>
            <scheme val="minor"/>
          </rPr>
          <t>Introduzca la fecha prevista de adjudicación, en formato dd-mm-aaaa</t>
        </r>
      </text>
    </comment>
    <comment ref="F1998" authorId="2" shapeId="0">
      <text/>
    </comment>
    <comment ref="F1999" authorId="2" shapeId="0">
      <text/>
    </comment>
    <comment ref="A2001" authorId="2" shapeId="0">
      <text>
        <r>
          <rPr>
            <sz val="11"/>
            <color theme="1"/>
            <rFont val="Calibri"/>
            <family val="2"/>
            <scheme val="minor"/>
          </rPr>
          <t>Introduzca un codigo UNSPSC</t>
        </r>
      </text>
    </comment>
    <comment ref="B2001" authorId="2" shapeId="0">
      <text>
        <r>
          <rPr>
            <sz val="11"/>
            <color theme="1"/>
            <rFont val="Calibri"/>
            <family val="2"/>
            <scheme val="minor"/>
          </rPr>
          <t>Descripción calculada automáticamente a partir de código del artículo</t>
        </r>
      </text>
    </comment>
    <comment ref="C2001" authorId="2" shapeId="0">
      <text>
        <r>
          <rPr>
            <sz val="11"/>
            <color theme="1"/>
            <rFont val="Calibri"/>
            <family val="2"/>
            <scheme val="minor"/>
          </rPr>
          <t>Seleccione un valor de la lista</t>
        </r>
      </text>
    </comment>
    <comment ref="D2001" authorId="2" shapeId="0">
      <text>
        <r>
          <rPr>
            <sz val="11"/>
            <color theme="1"/>
            <rFont val="Calibri"/>
            <family val="2"/>
            <scheme val="minor"/>
          </rPr>
          <t>Introduzca un número con dos decimales como máximo. Debe ser igual o mayor a la "Cantidad Real Consumida"</t>
        </r>
      </text>
    </comment>
    <comment ref="E2001" authorId="2" shapeId="0">
      <text>
        <r>
          <rPr>
            <sz val="11"/>
            <color theme="1"/>
            <rFont val="Calibri"/>
            <family val="2"/>
            <scheme val="minor"/>
          </rPr>
          <t>Introduzca un número con dos decimales como máximo</t>
        </r>
      </text>
    </comment>
    <comment ref="F2001" authorId="2" shapeId="0">
      <text>
        <r>
          <rPr>
            <sz val="11"/>
            <color theme="1"/>
            <rFont val="Calibri"/>
            <family val="2"/>
            <scheme val="minor"/>
          </rPr>
          <t>Monto calculado automáticamente por el sistema</t>
        </r>
      </text>
    </comment>
    <comment ref="A2006" authorId="1" shapeId="0">
      <text>
        <r>
          <rPr>
            <sz val="11"/>
            <color theme="1"/>
            <rFont val="Calibri"/>
            <family val="2"/>
            <scheme val="minor"/>
          </rPr>
          <t>Introducir un texto con el nombre o referencia de la contratación</t>
        </r>
      </text>
    </comment>
    <comment ref="B2006" authorId="1" shapeId="0">
      <text>
        <r>
          <rPr>
            <sz val="11"/>
            <color theme="1"/>
            <rFont val="Calibri"/>
            <family val="2"/>
            <scheme val="minor"/>
          </rPr>
          <t>Introduzca un texto con la finalidad de la contratación</t>
        </r>
      </text>
    </comment>
    <comment ref="C2006" authorId="1" shapeId="0">
      <text>
        <r>
          <rPr>
            <sz val="11"/>
            <color theme="1"/>
            <rFont val="Calibri"/>
            <family val="2"/>
            <scheme val="minor"/>
          </rPr>
          <t>Seleccionar un valor del listado</t>
        </r>
      </text>
    </comment>
    <comment ref="D2006" authorId="1" shapeId="0">
      <text>
        <r>
          <rPr>
            <sz val="11"/>
            <color theme="1"/>
            <rFont val="Calibri"/>
            <family val="2"/>
            <scheme val="minor"/>
          </rPr>
          <t>Seleccione el tipo de procedimiento</t>
        </r>
      </text>
    </comment>
    <comment ref="E2006" authorId="1" shapeId="0">
      <text>
        <r>
          <rPr>
            <sz val="11"/>
            <color theme="1"/>
            <rFont val="Calibri"/>
            <family val="2"/>
            <scheme val="minor"/>
          </rPr>
          <t>Seleccione un valor de la lista</t>
        </r>
      </text>
    </comment>
    <comment ref="F2006" authorId="2" shapeId="0">
      <text>
        <r>
          <rPr>
            <sz val="11"/>
            <color theme="1"/>
            <rFont val="Calibri"/>
            <family val="2"/>
            <scheme val="minor"/>
          </rPr>
          <t>Introduzca el código SNIP</t>
        </r>
      </text>
    </comment>
    <comment ref="C2007" authorId="2" shapeId="0">
      <text>
        <r>
          <rPr>
            <sz val="11"/>
            <color theme="1"/>
            <rFont val="Calibri"/>
            <family val="2"/>
            <scheme val="minor"/>
          </rPr>
          <t>Introduzca la fecha de inicio del proceso, en formato dd-mm-aaaa</t>
        </r>
      </text>
    </comment>
    <comment ref="F20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2" shapeId="0">
      <text/>
    </comment>
    <comment ref="C2009" authorId="2" shapeId="0">
      <text>
        <r>
          <rPr>
            <sz val="11"/>
            <color theme="1"/>
            <rFont val="Calibri"/>
            <family val="2"/>
            <scheme val="minor"/>
          </rPr>
          <t>Introduzca la fecha prevista de adjudicación, en formato dd-mm-aaaa</t>
        </r>
      </text>
    </comment>
    <comment ref="F2009" authorId="2" shapeId="0">
      <text/>
    </comment>
    <comment ref="F2010" authorId="2" shapeId="0">
      <text/>
    </comment>
    <comment ref="A2012" authorId="2" shapeId="0">
      <text>
        <r>
          <rPr>
            <sz val="11"/>
            <color theme="1"/>
            <rFont val="Calibri"/>
            <family val="2"/>
            <scheme val="minor"/>
          </rPr>
          <t>Introduzca un codigo UNSPSC</t>
        </r>
      </text>
    </comment>
    <comment ref="B2012" authorId="2" shapeId="0">
      <text>
        <r>
          <rPr>
            <sz val="11"/>
            <color theme="1"/>
            <rFont val="Calibri"/>
            <family val="2"/>
            <scheme val="minor"/>
          </rPr>
          <t>Descripción calculada automáticamente a partir de código del artículo</t>
        </r>
      </text>
    </comment>
    <comment ref="C2012" authorId="2" shapeId="0">
      <text>
        <r>
          <rPr>
            <sz val="11"/>
            <color theme="1"/>
            <rFont val="Calibri"/>
            <family val="2"/>
            <scheme val="minor"/>
          </rPr>
          <t>Seleccione un valor de la lista</t>
        </r>
      </text>
    </comment>
    <comment ref="D2012" authorId="2" shapeId="0">
      <text>
        <r>
          <rPr>
            <sz val="11"/>
            <color theme="1"/>
            <rFont val="Calibri"/>
            <family val="2"/>
            <scheme val="minor"/>
          </rPr>
          <t>Introduzca un número con dos decimales como máximo. Debe ser igual o mayor a la "Cantidad Real Consumida"</t>
        </r>
      </text>
    </comment>
    <comment ref="E2012" authorId="2" shapeId="0">
      <text>
        <r>
          <rPr>
            <sz val="11"/>
            <color theme="1"/>
            <rFont val="Calibri"/>
            <family val="2"/>
            <scheme val="minor"/>
          </rPr>
          <t>Introduzca un número con dos decimales como máximo</t>
        </r>
      </text>
    </comment>
    <comment ref="F2012" authorId="2" shapeId="0">
      <text>
        <r>
          <rPr>
            <sz val="11"/>
            <color theme="1"/>
            <rFont val="Calibri"/>
            <family val="2"/>
            <scheme val="minor"/>
          </rPr>
          <t>Monto calculado automáticamente por el sistema</t>
        </r>
      </text>
    </comment>
    <comment ref="A2017" authorId="1" shapeId="0">
      <text>
        <r>
          <rPr>
            <sz val="11"/>
            <color theme="1"/>
            <rFont val="Calibri"/>
            <family val="2"/>
            <scheme val="minor"/>
          </rPr>
          <t>Introducir un texto con el nombre o referencia de la contratación</t>
        </r>
      </text>
    </comment>
    <comment ref="B2017" authorId="1" shapeId="0">
      <text>
        <r>
          <rPr>
            <sz val="11"/>
            <color theme="1"/>
            <rFont val="Calibri"/>
            <family val="2"/>
            <scheme val="minor"/>
          </rPr>
          <t>Introduzca un texto con la finalidad de la contratación</t>
        </r>
      </text>
    </comment>
    <comment ref="C2017" authorId="1" shapeId="0">
      <text>
        <r>
          <rPr>
            <sz val="11"/>
            <color theme="1"/>
            <rFont val="Calibri"/>
            <family val="2"/>
            <scheme val="minor"/>
          </rPr>
          <t>Seleccionar un valor del listado</t>
        </r>
      </text>
    </comment>
    <comment ref="D2017" authorId="1" shapeId="0">
      <text>
        <r>
          <rPr>
            <sz val="11"/>
            <color theme="1"/>
            <rFont val="Calibri"/>
            <family val="2"/>
            <scheme val="minor"/>
          </rPr>
          <t>Seleccione el tipo de procedimiento</t>
        </r>
      </text>
    </comment>
    <comment ref="E2017" authorId="1" shapeId="0">
      <text>
        <r>
          <rPr>
            <sz val="11"/>
            <color theme="1"/>
            <rFont val="Calibri"/>
            <family val="2"/>
            <scheme val="minor"/>
          </rPr>
          <t>Seleccione un valor de la lista</t>
        </r>
      </text>
    </comment>
    <comment ref="F2017" authorId="2" shapeId="0">
      <text>
        <r>
          <rPr>
            <sz val="11"/>
            <color theme="1"/>
            <rFont val="Calibri"/>
            <family val="2"/>
            <scheme val="minor"/>
          </rPr>
          <t>Introduzca el código SNIP</t>
        </r>
      </text>
    </comment>
    <comment ref="C2018" authorId="2" shapeId="0">
      <text>
        <r>
          <rPr>
            <sz val="11"/>
            <color theme="1"/>
            <rFont val="Calibri"/>
            <family val="2"/>
            <scheme val="minor"/>
          </rPr>
          <t>Introduzca la fecha de inicio del proceso, en formato dd-mm-aaaa</t>
        </r>
      </text>
    </comment>
    <comment ref="F20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9" authorId="2" shapeId="0">
      <text/>
    </comment>
    <comment ref="C2020" authorId="2" shapeId="0">
      <text>
        <r>
          <rPr>
            <sz val="11"/>
            <color theme="1"/>
            <rFont val="Calibri"/>
            <family val="2"/>
            <scheme val="minor"/>
          </rPr>
          <t>Introduzca la fecha prevista de adjudicación, en formato dd-mm-aaaa</t>
        </r>
      </text>
    </comment>
    <comment ref="F2020" authorId="2" shapeId="0">
      <text/>
    </comment>
    <comment ref="F2021" authorId="2" shapeId="0">
      <text/>
    </comment>
    <comment ref="A2023" authorId="2" shapeId="0">
      <text>
        <r>
          <rPr>
            <sz val="11"/>
            <color theme="1"/>
            <rFont val="Calibri"/>
            <family val="2"/>
            <scheme val="minor"/>
          </rPr>
          <t>Introduzca un codigo UNSPSC</t>
        </r>
      </text>
    </comment>
    <comment ref="B2023" authorId="2" shapeId="0">
      <text>
        <r>
          <rPr>
            <sz val="11"/>
            <color theme="1"/>
            <rFont val="Calibri"/>
            <family val="2"/>
            <scheme val="minor"/>
          </rPr>
          <t>Descripción calculada automáticamente a partir de código del artículo</t>
        </r>
      </text>
    </comment>
    <comment ref="C2023" authorId="2" shapeId="0">
      <text>
        <r>
          <rPr>
            <sz val="11"/>
            <color theme="1"/>
            <rFont val="Calibri"/>
            <family val="2"/>
            <scheme val="minor"/>
          </rPr>
          <t>Seleccione un valor de la lista</t>
        </r>
      </text>
    </comment>
    <comment ref="D2023" authorId="2" shapeId="0">
      <text>
        <r>
          <rPr>
            <sz val="11"/>
            <color theme="1"/>
            <rFont val="Calibri"/>
            <family val="2"/>
            <scheme val="minor"/>
          </rPr>
          <t>Introduzca un número con dos decimales como máximo. Debe ser igual o mayor a la "Cantidad Real Consumida"</t>
        </r>
      </text>
    </comment>
    <comment ref="E2023" authorId="2" shapeId="0">
      <text>
        <r>
          <rPr>
            <sz val="11"/>
            <color theme="1"/>
            <rFont val="Calibri"/>
            <family val="2"/>
            <scheme val="minor"/>
          </rPr>
          <t>Introduzca un número con dos decimales como máximo</t>
        </r>
      </text>
    </comment>
    <comment ref="F2023" authorId="2" shapeId="0">
      <text>
        <r>
          <rPr>
            <sz val="11"/>
            <color theme="1"/>
            <rFont val="Calibri"/>
            <family val="2"/>
            <scheme val="minor"/>
          </rPr>
          <t>Monto calculado automáticamente por el sistema</t>
        </r>
      </text>
    </comment>
    <comment ref="A2028" authorId="1" shapeId="0">
      <text>
        <r>
          <rPr>
            <sz val="11"/>
            <color theme="1"/>
            <rFont val="Calibri"/>
            <family val="2"/>
            <scheme val="minor"/>
          </rPr>
          <t>Introducir un texto con el nombre o referencia de la contratación</t>
        </r>
      </text>
    </comment>
    <comment ref="B2028" authorId="1" shapeId="0">
      <text>
        <r>
          <rPr>
            <sz val="11"/>
            <color theme="1"/>
            <rFont val="Calibri"/>
            <family val="2"/>
            <scheme val="minor"/>
          </rPr>
          <t>Introduzca un texto con la finalidad de la contratación</t>
        </r>
      </text>
    </comment>
    <comment ref="C2028" authorId="1" shapeId="0">
      <text>
        <r>
          <rPr>
            <sz val="11"/>
            <color theme="1"/>
            <rFont val="Calibri"/>
            <family val="2"/>
            <scheme val="minor"/>
          </rPr>
          <t>Seleccionar un valor del listado</t>
        </r>
      </text>
    </comment>
    <comment ref="D2028" authorId="1" shapeId="0">
      <text>
        <r>
          <rPr>
            <sz val="11"/>
            <color theme="1"/>
            <rFont val="Calibri"/>
            <family val="2"/>
            <scheme val="minor"/>
          </rPr>
          <t>Seleccione el tipo de procedimiento</t>
        </r>
      </text>
    </comment>
    <comment ref="E2028" authorId="1" shapeId="0">
      <text>
        <r>
          <rPr>
            <sz val="11"/>
            <color theme="1"/>
            <rFont val="Calibri"/>
            <family val="2"/>
            <scheme val="minor"/>
          </rPr>
          <t>Seleccione un valor de la lista</t>
        </r>
      </text>
    </comment>
    <comment ref="F2028" authorId="2" shapeId="0">
      <text>
        <r>
          <rPr>
            <sz val="11"/>
            <color theme="1"/>
            <rFont val="Calibri"/>
            <family val="2"/>
            <scheme val="minor"/>
          </rPr>
          <t>Introduzca el código SNIP</t>
        </r>
      </text>
    </comment>
    <comment ref="C2029" authorId="2" shapeId="0">
      <text>
        <r>
          <rPr>
            <sz val="11"/>
            <color theme="1"/>
            <rFont val="Calibri"/>
            <family val="2"/>
            <scheme val="minor"/>
          </rPr>
          <t>Introduzca la fecha de inicio del proceso, en formato dd-mm-aaaa</t>
        </r>
      </text>
    </comment>
    <comment ref="F20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0" authorId="2" shapeId="0">
      <text/>
    </comment>
    <comment ref="C2031" authorId="2" shapeId="0">
      <text>
        <r>
          <rPr>
            <sz val="11"/>
            <color theme="1"/>
            <rFont val="Calibri"/>
            <family val="2"/>
            <scheme val="minor"/>
          </rPr>
          <t>Introduzca la fecha prevista de adjudicación, en formato dd-mm-aaaa</t>
        </r>
      </text>
    </comment>
    <comment ref="F2031" authorId="2" shapeId="0">
      <text/>
    </comment>
    <comment ref="F2032" authorId="2" shapeId="0">
      <text/>
    </comment>
    <comment ref="A2034" authorId="2" shapeId="0">
      <text>
        <r>
          <rPr>
            <sz val="11"/>
            <color theme="1"/>
            <rFont val="Calibri"/>
            <family val="2"/>
            <scheme val="minor"/>
          </rPr>
          <t>Introduzca un codigo UNSPSC</t>
        </r>
      </text>
    </comment>
    <comment ref="B2034" authorId="2" shapeId="0">
      <text>
        <r>
          <rPr>
            <sz val="11"/>
            <color theme="1"/>
            <rFont val="Calibri"/>
            <family val="2"/>
            <scheme val="minor"/>
          </rPr>
          <t>Descripción calculada automáticamente a partir de código del artículo</t>
        </r>
      </text>
    </comment>
    <comment ref="C2034" authorId="2" shapeId="0">
      <text>
        <r>
          <rPr>
            <sz val="11"/>
            <color theme="1"/>
            <rFont val="Calibri"/>
            <family val="2"/>
            <scheme val="minor"/>
          </rPr>
          <t>Seleccione un valor de la lista</t>
        </r>
      </text>
    </comment>
    <comment ref="D2034" authorId="2" shapeId="0">
      <text>
        <r>
          <rPr>
            <sz val="11"/>
            <color theme="1"/>
            <rFont val="Calibri"/>
            <family val="2"/>
            <scheme val="minor"/>
          </rPr>
          <t>Introduzca un número con dos decimales como máximo. Debe ser igual o mayor a la "Cantidad Real Consumida"</t>
        </r>
      </text>
    </comment>
    <comment ref="E2034" authorId="2" shapeId="0">
      <text>
        <r>
          <rPr>
            <sz val="11"/>
            <color theme="1"/>
            <rFont val="Calibri"/>
            <family val="2"/>
            <scheme val="minor"/>
          </rPr>
          <t>Introduzca un número con dos decimales como máximo</t>
        </r>
      </text>
    </comment>
    <comment ref="F2034" authorId="2" shapeId="0">
      <text>
        <r>
          <rPr>
            <sz val="11"/>
            <color theme="1"/>
            <rFont val="Calibri"/>
            <family val="2"/>
            <scheme val="minor"/>
          </rPr>
          <t>Monto calculado automáticamente por el sistema</t>
        </r>
      </text>
    </comment>
    <comment ref="A2039" authorId="2" shapeId="0">
      <text>
        <r>
          <rPr>
            <sz val="11"/>
            <color theme="1"/>
            <rFont val="Calibri"/>
            <family val="2"/>
            <scheme val="minor"/>
          </rPr>
          <t>Introducir un texto con el nombre o referencia de la contratación</t>
        </r>
      </text>
    </comment>
    <comment ref="B2039" authorId="2" shapeId="0">
      <text>
        <r>
          <rPr>
            <sz val="11"/>
            <color theme="1"/>
            <rFont val="Calibri"/>
            <family val="2"/>
            <scheme val="minor"/>
          </rPr>
          <t>Introduzca un texto con la finalidad de la contratación</t>
        </r>
      </text>
    </comment>
    <comment ref="C2039" authorId="2" shapeId="0">
      <text>
        <r>
          <rPr>
            <sz val="11"/>
            <color theme="1"/>
            <rFont val="Calibri"/>
            <family val="2"/>
            <scheme val="minor"/>
          </rPr>
          <t>Seleccionar un valor del listado</t>
        </r>
      </text>
    </comment>
    <comment ref="D2039" authorId="2" shapeId="0">
      <text>
        <r>
          <rPr>
            <sz val="11"/>
            <color theme="1"/>
            <rFont val="Calibri"/>
            <family val="2"/>
            <scheme val="minor"/>
          </rPr>
          <t>Seleccione el tipo de procedimiento</t>
        </r>
      </text>
    </comment>
    <comment ref="E2039" authorId="2" shapeId="0">
      <text>
        <r>
          <rPr>
            <sz val="11"/>
            <color theme="1"/>
            <rFont val="Calibri"/>
            <family val="2"/>
            <scheme val="minor"/>
          </rPr>
          <t>Seleccione un valor de la lista</t>
        </r>
      </text>
    </comment>
    <comment ref="F2039" authorId="2" shapeId="0">
      <text>
        <r>
          <rPr>
            <sz val="11"/>
            <color theme="1"/>
            <rFont val="Calibri"/>
            <family val="2"/>
            <scheme val="minor"/>
          </rPr>
          <t>Introduzca el código SNIP</t>
        </r>
      </text>
    </comment>
    <comment ref="C2040" authorId="2" shapeId="0">
      <text>
        <r>
          <rPr>
            <sz val="11"/>
            <color theme="1"/>
            <rFont val="Calibri"/>
            <family val="2"/>
            <scheme val="minor"/>
          </rPr>
          <t>Introduzca la fecha de inicio del proceso, en formato dd-mm-aaaa</t>
        </r>
      </text>
    </comment>
    <comment ref="F20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1" authorId="2" shapeId="0">
      <text/>
    </comment>
    <comment ref="C2042" authorId="2" shapeId="0">
      <text>
        <r>
          <rPr>
            <sz val="11"/>
            <color theme="1"/>
            <rFont val="Calibri"/>
            <family val="2"/>
            <scheme val="minor"/>
          </rPr>
          <t>Introduzca la fecha prevista de adjudicación, en formato dd-mm-aaaa</t>
        </r>
      </text>
    </comment>
    <comment ref="F2042" authorId="2" shapeId="0">
      <text/>
    </comment>
    <comment ref="F2043" authorId="2" shapeId="0">
      <text/>
    </comment>
    <comment ref="A2045" authorId="2" shapeId="0">
      <text>
        <r>
          <rPr>
            <sz val="11"/>
            <color theme="1"/>
            <rFont val="Calibri"/>
            <family val="2"/>
            <scheme val="minor"/>
          </rPr>
          <t>Introduzca un codigo UNSPSC</t>
        </r>
      </text>
    </comment>
    <comment ref="B2045" authorId="2" shapeId="0">
      <text>
        <r>
          <rPr>
            <sz val="11"/>
            <color theme="1"/>
            <rFont val="Calibri"/>
            <family val="2"/>
            <scheme val="minor"/>
          </rPr>
          <t>Descripción calculada automáticamente a partir de código del artículo</t>
        </r>
      </text>
    </comment>
    <comment ref="C2045" authorId="2" shapeId="0">
      <text>
        <r>
          <rPr>
            <sz val="11"/>
            <color theme="1"/>
            <rFont val="Calibri"/>
            <family val="2"/>
            <scheme val="minor"/>
          </rPr>
          <t>Seleccione un valor de la lista</t>
        </r>
      </text>
    </comment>
    <comment ref="D2045" authorId="2" shapeId="0">
      <text>
        <r>
          <rPr>
            <sz val="11"/>
            <color theme="1"/>
            <rFont val="Calibri"/>
            <family val="2"/>
            <scheme val="minor"/>
          </rPr>
          <t>Introduzca un número con dos decimales como máximo. Debe ser igual o mayor a la "Cantidad Real Consumida"</t>
        </r>
      </text>
    </comment>
    <comment ref="E2045" authorId="2" shapeId="0">
      <text>
        <r>
          <rPr>
            <sz val="11"/>
            <color theme="1"/>
            <rFont val="Calibri"/>
            <family val="2"/>
            <scheme val="minor"/>
          </rPr>
          <t>Introduzca un número con dos decimales como máximo</t>
        </r>
      </text>
    </comment>
    <comment ref="F2045" authorId="2" shapeId="0">
      <text>
        <r>
          <rPr>
            <sz val="11"/>
            <color theme="1"/>
            <rFont val="Calibri"/>
            <family val="2"/>
            <scheme val="minor"/>
          </rPr>
          <t>Monto calculado automáticamente por el sistema</t>
        </r>
      </text>
    </comment>
    <comment ref="A2051" authorId="1" shapeId="0">
      <text>
        <r>
          <rPr>
            <sz val="11"/>
            <color theme="1"/>
            <rFont val="Calibri"/>
            <family val="2"/>
            <scheme val="minor"/>
          </rPr>
          <t>Introducir un texto con el nombre o referencia de la contratación</t>
        </r>
      </text>
    </comment>
    <comment ref="B2051" authorId="1" shapeId="0">
      <text>
        <r>
          <rPr>
            <sz val="11"/>
            <color theme="1"/>
            <rFont val="Calibri"/>
            <family val="2"/>
            <scheme val="minor"/>
          </rPr>
          <t>Introduzca un texto con la finalidad de la contratación</t>
        </r>
      </text>
    </comment>
    <comment ref="C2051" authorId="1" shapeId="0">
      <text>
        <r>
          <rPr>
            <sz val="11"/>
            <color theme="1"/>
            <rFont val="Calibri"/>
            <family val="2"/>
            <scheme val="minor"/>
          </rPr>
          <t>Seleccionar un valor del listado</t>
        </r>
      </text>
    </comment>
    <comment ref="D2051" authorId="1" shapeId="0">
      <text>
        <r>
          <rPr>
            <sz val="11"/>
            <color theme="1"/>
            <rFont val="Calibri"/>
            <family val="2"/>
            <scheme val="minor"/>
          </rPr>
          <t>Seleccione el tipo de procedimiento</t>
        </r>
      </text>
    </comment>
    <comment ref="E2051" authorId="1" shapeId="0">
      <text>
        <r>
          <rPr>
            <sz val="11"/>
            <color theme="1"/>
            <rFont val="Calibri"/>
            <family val="2"/>
            <scheme val="minor"/>
          </rPr>
          <t>Seleccione un valor de la lista</t>
        </r>
      </text>
    </comment>
    <comment ref="F2051" authorId="2" shapeId="0">
      <text>
        <r>
          <rPr>
            <sz val="11"/>
            <color theme="1"/>
            <rFont val="Calibri"/>
            <family val="2"/>
            <scheme val="minor"/>
          </rPr>
          <t>Introduzca el código SNIP</t>
        </r>
      </text>
    </comment>
    <comment ref="C2052" authorId="2" shapeId="0">
      <text>
        <r>
          <rPr>
            <sz val="11"/>
            <color theme="1"/>
            <rFont val="Calibri"/>
            <family val="2"/>
            <scheme val="minor"/>
          </rPr>
          <t>Introduzca la fecha de inicio del proceso, en formato dd-mm-aaaa</t>
        </r>
      </text>
    </comment>
    <comment ref="F20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2" shapeId="0">
      <text/>
    </comment>
    <comment ref="C2054" authorId="2" shapeId="0">
      <text>
        <r>
          <rPr>
            <sz val="11"/>
            <color theme="1"/>
            <rFont val="Calibri"/>
            <family val="2"/>
            <scheme val="minor"/>
          </rPr>
          <t>Introduzca la fecha prevista de adjudicación, en formato dd-mm-aaaa</t>
        </r>
      </text>
    </comment>
    <comment ref="F2054" authorId="2" shapeId="0">
      <text/>
    </comment>
    <comment ref="F2055" authorId="2" shapeId="0">
      <text/>
    </comment>
    <comment ref="A2057" authorId="2" shapeId="0">
      <text>
        <r>
          <rPr>
            <sz val="11"/>
            <color theme="1"/>
            <rFont val="Calibri"/>
            <family val="2"/>
            <scheme val="minor"/>
          </rPr>
          <t>Introduzca un codigo UNSPSC</t>
        </r>
      </text>
    </comment>
    <comment ref="B2057" authorId="2" shapeId="0">
      <text>
        <r>
          <rPr>
            <sz val="11"/>
            <color theme="1"/>
            <rFont val="Calibri"/>
            <family val="2"/>
            <scheme val="minor"/>
          </rPr>
          <t>Descripción calculada automáticamente a partir de código del artículo</t>
        </r>
      </text>
    </comment>
    <comment ref="C2057" authorId="2" shapeId="0">
      <text>
        <r>
          <rPr>
            <sz val="11"/>
            <color theme="1"/>
            <rFont val="Calibri"/>
            <family val="2"/>
            <scheme val="minor"/>
          </rPr>
          <t>Seleccione un valor de la lista</t>
        </r>
      </text>
    </comment>
    <comment ref="D2057" authorId="2" shapeId="0">
      <text>
        <r>
          <rPr>
            <sz val="11"/>
            <color theme="1"/>
            <rFont val="Calibri"/>
            <family val="2"/>
            <scheme val="minor"/>
          </rPr>
          <t>Introduzca un número con dos decimales como máximo. Debe ser igual o mayor a la "Cantidad Real Consumida"</t>
        </r>
      </text>
    </comment>
    <comment ref="E2057" authorId="2" shapeId="0">
      <text>
        <r>
          <rPr>
            <sz val="11"/>
            <color theme="1"/>
            <rFont val="Calibri"/>
            <family val="2"/>
            <scheme val="minor"/>
          </rPr>
          <t>Introduzca un número con dos decimales como máximo</t>
        </r>
      </text>
    </comment>
    <comment ref="F2057" authorId="2" shapeId="0">
      <text>
        <r>
          <rPr>
            <sz val="11"/>
            <color theme="1"/>
            <rFont val="Calibri"/>
            <family val="2"/>
            <scheme val="minor"/>
          </rPr>
          <t>Monto calculado automáticamente por el sistema</t>
        </r>
      </text>
    </comment>
    <comment ref="A2065" authorId="1" shapeId="0">
      <text>
        <r>
          <rPr>
            <sz val="11"/>
            <color theme="1"/>
            <rFont val="Calibri"/>
            <family val="2"/>
            <scheme val="minor"/>
          </rPr>
          <t>Introducir un texto con el nombre o referencia de la contratación</t>
        </r>
      </text>
    </comment>
    <comment ref="B2065" authorId="1" shapeId="0">
      <text>
        <r>
          <rPr>
            <sz val="11"/>
            <color theme="1"/>
            <rFont val="Calibri"/>
            <family val="2"/>
            <scheme val="minor"/>
          </rPr>
          <t>Introduzca un texto con la finalidad de la contratación</t>
        </r>
      </text>
    </comment>
    <comment ref="C2065" authorId="1" shapeId="0">
      <text>
        <r>
          <rPr>
            <sz val="11"/>
            <color theme="1"/>
            <rFont val="Calibri"/>
            <family val="2"/>
            <scheme val="minor"/>
          </rPr>
          <t>Seleccionar un valor del listado</t>
        </r>
      </text>
    </comment>
    <comment ref="D2065" authorId="1" shapeId="0">
      <text>
        <r>
          <rPr>
            <sz val="11"/>
            <color theme="1"/>
            <rFont val="Calibri"/>
            <family val="2"/>
            <scheme val="minor"/>
          </rPr>
          <t>Seleccione el tipo de procedimiento</t>
        </r>
      </text>
    </comment>
    <comment ref="E2065" authorId="1" shapeId="0">
      <text>
        <r>
          <rPr>
            <sz val="11"/>
            <color theme="1"/>
            <rFont val="Calibri"/>
            <family val="2"/>
            <scheme val="minor"/>
          </rPr>
          <t>Seleccione un valor de la lista</t>
        </r>
      </text>
    </comment>
    <comment ref="F2065" authorId="2" shapeId="0">
      <text>
        <r>
          <rPr>
            <sz val="11"/>
            <color theme="1"/>
            <rFont val="Calibri"/>
            <family val="2"/>
            <scheme val="minor"/>
          </rPr>
          <t>Introduzca el código SNIP</t>
        </r>
      </text>
    </comment>
    <comment ref="C2066" authorId="2" shapeId="0">
      <text>
        <r>
          <rPr>
            <sz val="11"/>
            <color theme="1"/>
            <rFont val="Calibri"/>
            <family val="2"/>
            <scheme val="minor"/>
          </rPr>
          <t>Introduzca la fecha de inicio del proceso, en formato dd-mm-aaaa</t>
        </r>
      </text>
    </comment>
    <comment ref="F20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7" authorId="2" shapeId="0">
      <text/>
    </comment>
    <comment ref="C2068" authorId="2" shapeId="0">
      <text>
        <r>
          <rPr>
            <sz val="11"/>
            <color theme="1"/>
            <rFont val="Calibri"/>
            <family val="2"/>
            <scheme val="minor"/>
          </rPr>
          <t>Introduzca la fecha prevista de adjudicación, en formato dd-mm-aaaa</t>
        </r>
      </text>
    </comment>
    <comment ref="F2068" authorId="2" shapeId="0">
      <text/>
    </comment>
    <comment ref="F2069" authorId="2" shapeId="0">
      <text/>
    </comment>
    <comment ref="A2071" authorId="2" shapeId="0">
      <text>
        <r>
          <rPr>
            <sz val="11"/>
            <color theme="1"/>
            <rFont val="Calibri"/>
            <family val="2"/>
            <scheme val="minor"/>
          </rPr>
          <t>Introduzca un codigo UNSPSC</t>
        </r>
      </text>
    </comment>
    <comment ref="B2071" authorId="2" shapeId="0">
      <text>
        <r>
          <rPr>
            <sz val="11"/>
            <color theme="1"/>
            <rFont val="Calibri"/>
            <family val="2"/>
            <scheme val="minor"/>
          </rPr>
          <t>Descripción calculada automáticamente a partir de código del artículo</t>
        </r>
      </text>
    </comment>
    <comment ref="C2071" authorId="2" shapeId="0">
      <text>
        <r>
          <rPr>
            <sz val="11"/>
            <color theme="1"/>
            <rFont val="Calibri"/>
            <family val="2"/>
            <scheme val="minor"/>
          </rPr>
          <t>Seleccione un valor de la lista</t>
        </r>
      </text>
    </comment>
    <comment ref="D2071" authorId="2" shapeId="0">
      <text>
        <r>
          <rPr>
            <sz val="11"/>
            <color theme="1"/>
            <rFont val="Calibri"/>
            <family val="2"/>
            <scheme val="minor"/>
          </rPr>
          <t>Introduzca un número con dos decimales como máximo. Debe ser igual o mayor a la "Cantidad Real Consumida"</t>
        </r>
      </text>
    </comment>
    <comment ref="E2071" authorId="2" shapeId="0">
      <text>
        <r>
          <rPr>
            <sz val="11"/>
            <color theme="1"/>
            <rFont val="Calibri"/>
            <family val="2"/>
            <scheme val="minor"/>
          </rPr>
          <t>Introduzca un número con dos decimales como máximo</t>
        </r>
      </text>
    </comment>
    <comment ref="F2071" authorId="2" shapeId="0">
      <text>
        <r>
          <rPr>
            <sz val="11"/>
            <color theme="1"/>
            <rFont val="Calibri"/>
            <family val="2"/>
            <scheme val="minor"/>
          </rPr>
          <t>Monto calculado automáticamente por el sistema</t>
        </r>
      </text>
    </comment>
    <comment ref="A2077" authorId="1" shapeId="0">
      <text>
        <r>
          <rPr>
            <sz val="11"/>
            <color theme="1"/>
            <rFont val="Calibri"/>
            <family val="2"/>
            <scheme val="minor"/>
          </rPr>
          <t>Introducir un texto con el nombre o referencia de la contratación</t>
        </r>
      </text>
    </comment>
    <comment ref="B2077" authorId="1" shapeId="0">
      <text>
        <r>
          <rPr>
            <sz val="11"/>
            <color theme="1"/>
            <rFont val="Calibri"/>
            <family val="2"/>
            <scheme val="minor"/>
          </rPr>
          <t>Introduzca un texto con la finalidad de la contratación</t>
        </r>
      </text>
    </comment>
    <comment ref="C2077" authorId="1" shapeId="0">
      <text>
        <r>
          <rPr>
            <sz val="11"/>
            <color theme="1"/>
            <rFont val="Calibri"/>
            <family val="2"/>
            <scheme val="minor"/>
          </rPr>
          <t>Seleccionar un valor del listado</t>
        </r>
      </text>
    </comment>
    <comment ref="D2077" authorId="1" shapeId="0">
      <text>
        <r>
          <rPr>
            <sz val="11"/>
            <color theme="1"/>
            <rFont val="Calibri"/>
            <family val="2"/>
            <scheme val="minor"/>
          </rPr>
          <t>Seleccione el tipo de procedimiento</t>
        </r>
      </text>
    </comment>
    <comment ref="E2077" authorId="1" shapeId="0">
      <text>
        <r>
          <rPr>
            <sz val="11"/>
            <color theme="1"/>
            <rFont val="Calibri"/>
            <family val="2"/>
            <scheme val="minor"/>
          </rPr>
          <t>Seleccione un valor de la lista</t>
        </r>
      </text>
    </comment>
    <comment ref="F2077" authorId="2" shapeId="0">
      <text>
        <r>
          <rPr>
            <sz val="11"/>
            <color theme="1"/>
            <rFont val="Calibri"/>
            <family val="2"/>
            <scheme val="minor"/>
          </rPr>
          <t>Introduzca el código SNIP</t>
        </r>
      </text>
    </comment>
    <comment ref="C2078" authorId="2" shapeId="0">
      <text>
        <r>
          <rPr>
            <sz val="11"/>
            <color theme="1"/>
            <rFont val="Calibri"/>
            <family val="2"/>
            <scheme val="minor"/>
          </rPr>
          <t>Introduzca la fecha de inicio del proceso, en formato dd-mm-aaaa</t>
        </r>
      </text>
    </comment>
    <comment ref="F20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9" authorId="2" shapeId="0">
      <text/>
    </comment>
    <comment ref="C2080" authorId="2" shapeId="0">
      <text>
        <r>
          <rPr>
            <sz val="11"/>
            <color theme="1"/>
            <rFont val="Calibri"/>
            <family val="2"/>
            <scheme val="minor"/>
          </rPr>
          <t>Introduzca la fecha prevista de adjudicación, en formato dd-mm-aaaa</t>
        </r>
      </text>
    </comment>
    <comment ref="F2080" authorId="2" shapeId="0">
      <text/>
    </comment>
    <comment ref="F2081" authorId="2" shapeId="0">
      <text/>
    </comment>
    <comment ref="A2083" authorId="2" shapeId="0">
      <text>
        <r>
          <rPr>
            <sz val="11"/>
            <color theme="1"/>
            <rFont val="Calibri"/>
            <family val="2"/>
            <scheme val="minor"/>
          </rPr>
          <t>Introduzca un codigo UNSPSC</t>
        </r>
      </text>
    </comment>
    <comment ref="B2083" authorId="2" shapeId="0">
      <text>
        <r>
          <rPr>
            <sz val="11"/>
            <color theme="1"/>
            <rFont val="Calibri"/>
            <family val="2"/>
            <scheme val="minor"/>
          </rPr>
          <t>Descripción calculada automáticamente a partir de código del artículo</t>
        </r>
      </text>
    </comment>
    <comment ref="C2083" authorId="2" shapeId="0">
      <text>
        <r>
          <rPr>
            <sz val="11"/>
            <color theme="1"/>
            <rFont val="Calibri"/>
            <family val="2"/>
            <scheme val="minor"/>
          </rPr>
          <t>Seleccione un valor de la lista</t>
        </r>
      </text>
    </comment>
    <comment ref="D2083" authorId="2" shapeId="0">
      <text>
        <r>
          <rPr>
            <sz val="11"/>
            <color theme="1"/>
            <rFont val="Calibri"/>
            <family val="2"/>
            <scheme val="minor"/>
          </rPr>
          <t>Introduzca un número con dos decimales como máximo. Debe ser igual o mayor a la "Cantidad Real Consumida"</t>
        </r>
      </text>
    </comment>
    <comment ref="E2083" authorId="2" shapeId="0">
      <text>
        <r>
          <rPr>
            <sz val="11"/>
            <color theme="1"/>
            <rFont val="Calibri"/>
            <family val="2"/>
            <scheme val="minor"/>
          </rPr>
          <t>Introduzca un número con dos decimales como máximo</t>
        </r>
      </text>
    </comment>
    <comment ref="F2083" authorId="2" shapeId="0">
      <text>
        <r>
          <rPr>
            <sz val="11"/>
            <color theme="1"/>
            <rFont val="Calibri"/>
            <family val="2"/>
            <scheme val="minor"/>
          </rPr>
          <t>Monto calculado automáticamente por el sistema</t>
        </r>
      </text>
    </comment>
    <comment ref="A2187" authorId="1" shapeId="0">
      <text>
        <r>
          <rPr>
            <sz val="11"/>
            <color theme="1"/>
            <rFont val="Calibri"/>
            <family val="2"/>
            <scheme val="minor"/>
          </rPr>
          <t>Introducir un texto con el nombre o referencia de la contratación</t>
        </r>
      </text>
    </comment>
    <comment ref="B2187" authorId="1" shapeId="0">
      <text>
        <r>
          <rPr>
            <sz val="11"/>
            <color theme="1"/>
            <rFont val="Calibri"/>
            <family val="2"/>
            <scheme val="minor"/>
          </rPr>
          <t>Introduzca un texto con la finalidad de la contratación</t>
        </r>
      </text>
    </comment>
    <comment ref="C2187" authorId="1" shapeId="0">
      <text>
        <r>
          <rPr>
            <sz val="11"/>
            <color theme="1"/>
            <rFont val="Calibri"/>
            <family val="2"/>
            <scheme val="minor"/>
          </rPr>
          <t>Seleccionar un valor del listado</t>
        </r>
      </text>
    </comment>
    <comment ref="D2187" authorId="1" shapeId="0">
      <text>
        <r>
          <rPr>
            <sz val="11"/>
            <color theme="1"/>
            <rFont val="Calibri"/>
            <family val="2"/>
            <scheme val="minor"/>
          </rPr>
          <t>Seleccione el tipo de procedimiento</t>
        </r>
      </text>
    </comment>
    <comment ref="E2187" authorId="1" shapeId="0">
      <text>
        <r>
          <rPr>
            <sz val="11"/>
            <color theme="1"/>
            <rFont val="Calibri"/>
            <family val="2"/>
            <scheme val="minor"/>
          </rPr>
          <t>Seleccione un valor de la lista</t>
        </r>
      </text>
    </comment>
    <comment ref="F2187" authorId="2" shapeId="0">
      <text>
        <r>
          <rPr>
            <sz val="11"/>
            <color theme="1"/>
            <rFont val="Calibri"/>
            <family val="2"/>
            <scheme val="minor"/>
          </rPr>
          <t>Introduzca el código SNIP</t>
        </r>
      </text>
    </comment>
    <comment ref="C2188" authorId="2" shapeId="0">
      <text>
        <r>
          <rPr>
            <sz val="11"/>
            <color theme="1"/>
            <rFont val="Calibri"/>
            <family val="2"/>
            <scheme val="minor"/>
          </rPr>
          <t>Introduzca la fecha de inicio del proceso, en formato dd-mm-aaaa</t>
        </r>
      </text>
    </comment>
    <comment ref="F21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9" authorId="2" shapeId="0">
      <text/>
    </comment>
    <comment ref="C2190" authorId="2" shapeId="0">
      <text>
        <r>
          <rPr>
            <sz val="11"/>
            <color theme="1"/>
            <rFont val="Calibri"/>
            <family val="2"/>
            <scheme val="minor"/>
          </rPr>
          <t>Introduzca la fecha prevista de adjudicación, en formato dd-mm-aaaa</t>
        </r>
      </text>
    </comment>
    <comment ref="F2190" authorId="2" shapeId="0">
      <text/>
    </comment>
    <comment ref="F2191" authorId="2" shapeId="0">
      <text/>
    </comment>
    <comment ref="A2193" authorId="2" shapeId="0">
      <text>
        <r>
          <rPr>
            <sz val="11"/>
            <color theme="1"/>
            <rFont val="Calibri"/>
            <family val="2"/>
            <scheme val="minor"/>
          </rPr>
          <t>Introduzca un codigo UNSPSC</t>
        </r>
      </text>
    </comment>
    <comment ref="B2193" authorId="2" shapeId="0">
      <text>
        <r>
          <rPr>
            <sz val="11"/>
            <color theme="1"/>
            <rFont val="Calibri"/>
            <family val="2"/>
            <scheme val="minor"/>
          </rPr>
          <t>Descripción calculada automáticamente a partir de código del artículo</t>
        </r>
      </text>
    </comment>
    <comment ref="C2193" authorId="2" shapeId="0">
      <text>
        <r>
          <rPr>
            <sz val="11"/>
            <color theme="1"/>
            <rFont val="Calibri"/>
            <family val="2"/>
            <scheme val="minor"/>
          </rPr>
          <t>Seleccione un valor de la lista</t>
        </r>
      </text>
    </comment>
    <comment ref="D2193" authorId="2" shapeId="0">
      <text>
        <r>
          <rPr>
            <sz val="11"/>
            <color theme="1"/>
            <rFont val="Calibri"/>
            <family val="2"/>
            <scheme val="minor"/>
          </rPr>
          <t>Introduzca un número con dos decimales como máximo. Debe ser igual o mayor a la "Cantidad Real Consumida"</t>
        </r>
      </text>
    </comment>
    <comment ref="E2193" authorId="2" shapeId="0">
      <text>
        <r>
          <rPr>
            <sz val="11"/>
            <color theme="1"/>
            <rFont val="Calibri"/>
            <family val="2"/>
            <scheme val="minor"/>
          </rPr>
          <t>Introduzca un número con dos decimales como máximo</t>
        </r>
      </text>
    </comment>
    <comment ref="F2193" authorId="2" shapeId="0">
      <text>
        <r>
          <rPr>
            <sz val="11"/>
            <color theme="1"/>
            <rFont val="Calibri"/>
            <family val="2"/>
            <scheme val="minor"/>
          </rPr>
          <t>Monto calculado automáticamente por el sistema</t>
        </r>
      </text>
    </comment>
    <comment ref="A2208" authorId="1" shapeId="0">
      <text>
        <r>
          <rPr>
            <sz val="11"/>
            <color theme="1"/>
            <rFont val="Calibri"/>
            <family val="2"/>
            <scheme val="minor"/>
          </rPr>
          <t>Introducir un texto con el nombre o referencia de la contratación</t>
        </r>
      </text>
    </comment>
    <comment ref="B2208" authorId="1" shapeId="0">
      <text>
        <r>
          <rPr>
            <sz val="11"/>
            <color theme="1"/>
            <rFont val="Calibri"/>
            <family val="2"/>
            <scheme val="minor"/>
          </rPr>
          <t>Introduzca un texto con la finalidad de la contratación</t>
        </r>
      </text>
    </comment>
    <comment ref="C2208" authorId="1" shapeId="0">
      <text>
        <r>
          <rPr>
            <sz val="11"/>
            <color theme="1"/>
            <rFont val="Calibri"/>
            <family val="2"/>
            <scheme val="minor"/>
          </rPr>
          <t>Seleccionar un valor del listado</t>
        </r>
      </text>
    </comment>
    <comment ref="D2208" authorId="1" shapeId="0">
      <text>
        <r>
          <rPr>
            <sz val="11"/>
            <color theme="1"/>
            <rFont val="Calibri"/>
            <family val="2"/>
            <scheme val="minor"/>
          </rPr>
          <t>Seleccione el tipo de procedimiento</t>
        </r>
      </text>
    </comment>
    <comment ref="E2208" authorId="1" shapeId="0">
      <text>
        <r>
          <rPr>
            <sz val="11"/>
            <color theme="1"/>
            <rFont val="Calibri"/>
            <family val="2"/>
            <scheme val="minor"/>
          </rPr>
          <t>Seleccione un valor de la lista</t>
        </r>
      </text>
    </comment>
    <comment ref="F2208" authorId="2" shapeId="0">
      <text>
        <r>
          <rPr>
            <sz val="11"/>
            <color theme="1"/>
            <rFont val="Calibri"/>
            <family val="2"/>
            <scheme val="minor"/>
          </rPr>
          <t>Introduzca el código SNIP</t>
        </r>
      </text>
    </comment>
    <comment ref="C2209" authorId="2" shapeId="0">
      <text>
        <r>
          <rPr>
            <sz val="11"/>
            <color theme="1"/>
            <rFont val="Calibri"/>
            <family val="2"/>
            <scheme val="minor"/>
          </rPr>
          <t>Introduzca la fecha de inicio del proceso, en formato dd-mm-aaaa</t>
        </r>
      </text>
    </comment>
    <comment ref="F2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0" authorId="2" shapeId="0">
      <text/>
    </comment>
    <comment ref="C2211" authorId="2" shapeId="0">
      <text>
        <r>
          <rPr>
            <sz val="11"/>
            <color theme="1"/>
            <rFont val="Calibri"/>
            <family val="2"/>
            <scheme val="minor"/>
          </rPr>
          <t>Introduzca la fecha prevista de adjudicación, en formato dd-mm-aaaa</t>
        </r>
      </text>
    </comment>
    <comment ref="F2211" authorId="2" shapeId="0">
      <text/>
    </comment>
    <comment ref="F2212" authorId="2" shapeId="0">
      <text/>
    </comment>
    <comment ref="A2214" authorId="2" shapeId="0">
      <text>
        <r>
          <rPr>
            <sz val="11"/>
            <color theme="1"/>
            <rFont val="Calibri"/>
            <family val="2"/>
            <scheme val="minor"/>
          </rPr>
          <t>Introduzca un codigo UNSPSC</t>
        </r>
      </text>
    </comment>
    <comment ref="B2214" authorId="2" shapeId="0">
      <text>
        <r>
          <rPr>
            <sz val="11"/>
            <color theme="1"/>
            <rFont val="Calibri"/>
            <family val="2"/>
            <scheme val="minor"/>
          </rPr>
          <t>Descripción calculada automáticamente a partir de código del artículo</t>
        </r>
      </text>
    </comment>
    <comment ref="C2214" authorId="2" shapeId="0">
      <text>
        <r>
          <rPr>
            <sz val="11"/>
            <color theme="1"/>
            <rFont val="Calibri"/>
            <family val="2"/>
            <scheme val="minor"/>
          </rPr>
          <t>Seleccione un valor de la lista</t>
        </r>
      </text>
    </comment>
    <comment ref="D2214" authorId="2" shapeId="0">
      <text>
        <r>
          <rPr>
            <sz val="11"/>
            <color theme="1"/>
            <rFont val="Calibri"/>
            <family val="2"/>
            <scheme val="minor"/>
          </rPr>
          <t>Introduzca un número con dos decimales como máximo. Debe ser igual o mayor a la "Cantidad Real Consumida"</t>
        </r>
      </text>
    </comment>
    <comment ref="E2214" authorId="2" shapeId="0">
      <text>
        <r>
          <rPr>
            <sz val="11"/>
            <color theme="1"/>
            <rFont val="Calibri"/>
            <family val="2"/>
            <scheme val="minor"/>
          </rPr>
          <t>Introduzca un número con dos decimales como máximo</t>
        </r>
      </text>
    </comment>
    <comment ref="F2214" authorId="2" shapeId="0">
      <text>
        <r>
          <rPr>
            <sz val="11"/>
            <color theme="1"/>
            <rFont val="Calibri"/>
            <family val="2"/>
            <scheme val="minor"/>
          </rPr>
          <t>Monto calculado automáticamente por el sistema</t>
        </r>
      </text>
    </comment>
    <comment ref="A2242" authorId="1" shapeId="0">
      <text>
        <r>
          <rPr>
            <sz val="11"/>
            <color theme="1"/>
            <rFont val="Calibri"/>
            <family val="2"/>
            <scheme val="minor"/>
          </rPr>
          <t>Introducir un texto con el nombre o referencia de la contratación</t>
        </r>
      </text>
    </comment>
    <comment ref="B2242" authorId="1" shapeId="0">
      <text>
        <r>
          <rPr>
            <sz val="11"/>
            <color theme="1"/>
            <rFont val="Calibri"/>
            <family val="2"/>
            <scheme val="minor"/>
          </rPr>
          <t>Introduzca un texto con la finalidad de la contratación</t>
        </r>
      </text>
    </comment>
    <comment ref="C2242" authorId="1" shapeId="0">
      <text>
        <r>
          <rPr>
            <sz val="11"/>
            <color theme="1"/>
            <rFont val="Calibri"/>
            <family val="2"/>
            <scheme val="minor"/>
          </rPr>
          <t>Seleccionar un valor del listado</t>
        </r>
      </text>
    </comment>
    <comment ref="D2242" authorId="1" shapeId="0">
      <text>
        <r>
          <rPr>
            <sz val="11"/>
            <color theme="1"/>
            <rFont val="Calibri"/>
            <family val="2"/>
            <scheme val="minor"/>
          </rPr>
          <t>Seleccione el tipo de procedimiento</t>
        </r>
      </text>
    </comment>
    <comment ref="E2242" authorId="1" shapeId="0">
      <text>
        <r>
          <rPr>
            <sz val="11"/>
            <color theme="1"/>
            <rFont val="Calibri"/>
            <family val="2"/>
            <scheme val="minor"/>
          </rPr>
          <t>Seleccione un valor de la lista</t>
        </r>
      </text>
    </comment>
    <comment ref="F2242" authorId="2" shapeId="0">
      <text>
        <r>
          <rPr>
            <sz val="11"/>
            <color theme="1"/>
            <rFont val="Calibri"/>
            <family val="2"/>
            <scheme val="minor"/>
          </rPr>
          <t>Introduzca el código SNIP</t>
        </r>
      </text>
    </comment>
    <comment ref="C2243" authorId="2" shapeId="0">
      <text>
        <r>
          <rPr>
            <sz val="11"/>
            <color theme="1"/>
            <rFont val="Calibri"/>
            <family val="2"/>
            <scheme val="minor"/>
          </rPr>
          <t>Introduzca la fecha de inicio del proceso, en formato dd-mm-aaaa</t>
        </r>
      </text>
    </comment>
    <comment ref="F22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4" authorId="2" shapeId="0">
      <text/>
    </comment>
    <comment ref="C2245" authorId="2" shapeId="0">
      <text>
        <r>
          <rPr>
            <sz val="11"/>
            <color theme="1"/>
            <rFont val="Calibri"/>
            <family val="2"/>
            <scheme val="minor"/>
          </rPr>
          <t>Introduzca la fecha prevista de adjudicación, en formato dd-mm-aaaa</t>
        </r>
      </text>
    </comment>
    <comment ref="F2245" authorId="2" shapeId="0">
      <text/>
    </comment>
    <comment ref="F2246" authorId="2" shapeId="0">
      <text/>
    </comment>
    <comment ref="A2248" authorId="2" shapeId="0">
      <text>
        <r>
          <rPr>
            <sz val="11"/>
            <color theme="1"/>
            <rFont val="Calibri"/>
            <family val="2"/>
            <scheme val="minor"/>
          </rPr>
          <t>Introduzca un codigo UNSPSC</t>
        </r>
      </text>
    </comment>
    <comment ref="B2248" authorId="2" shapeId="0">
      <text>
        <r>
          <rPr>
            <sz val="11"/>
            <color theme="1"/>
            <rFont val="Calibri"/>
            <family val="2"/>
            <scheme val="minor"/>
          </rPr>
          <t>Descripción calculada automáticamente a partir de código del artículo</t>
        </r>
      </text>
    </comment>
    <comment ref="C2248" authorId="2" shapeId="0">
      <text>
        <r>
          <rPr>
            <sz val="11"/>
            <color theme="1"/>
            <rFont val="Calibri"/>
            <family val="2"/>
            <scheme val="minor"/>
          </rPr>
          <t>Seleccione un valor de la lista</t>
        </r>
      </text>
    </comment>
    <comment ref="D2248" authorId="2" shapeId="0">
      <text>
        <r>
          <rPr>
            <sz val="11"/>
            <color theme="1"/>
            <rFont val="Calibri"/>
            <family val="2"/>
            <scheme val="minor"/>
          </rPr>
          <t>Introduzca un número con dos decimales como máximo. Debe ser igual o mayor a la "Cantidad Real Consumida"</t>
        </r>
      </text>
    </comment>
    <comment ref="E2248" authorId="2" shapeId="0">
      <text>
        <r>
          <rPr>
            <sz val="11"/>
            <color theme="1"/>
            <rFont val="Calibri"/>
            <family val="2"/>
            <scheme val="minor"/>
          </rPr>
          <t>Introduzca un número con dos decimales como máximo</t>
        </r>
      </text>
    </comment>
    <comment ref="F2248" authorId="2" shapeId="0">
      <text>
        <r>
          <rPr>
            <sz val="11"/>
            <color theme="1"/>
            <rFont val="Calibri"/>
            <family val="2"/>
            <scheme val="minor"/>
          </rPr>
          <t>Monto calculado automáticamente por el sistema</t>
        </r>
      </text>
    </comment>
    <comment ref="A2254" authorId="2" shapeId="0">
      <text>
        <r>
          <rPr>
            <sz val="11"/>
            <color theme="1"/>
            <rFont val="Calibri"/>
            <family val="2"/>
            <scheme val="minor"/>
          </rPr>
          <t>Introducir un texto con el nombre o referencia de la contratación</t>
        </r>
      </text>
    </comment>
    <comment ref="B2254" authorId="2" shapeId="0">
      <text>
        <r>
          <rPr>
            <sz val="11"/>
            <color theme="1"/>
            <rFont val="Calibri"/>
            <family val="2"/>
            <scheme val="minor"/>
          </rPr>
          <t>Introduzca un texto con la finalidad de la contratación</t>
        </r>
      </text>
    </comment>
    <comment ref="C2254" authorId="2" shapeId="0">
      <text>
        <r>
          <rPr>
            <sz val="11"/>
            <color theme="1"/>
            <rFont val="Calibri"/>
            <family val="2"/>
            <scheme val="minor"/>
          </rPr>
          <t>Seleccionar un valor del listado</t>
        </r>
      </text>
    </comment>
    <comment ref="D2254" authorId="2" shapeId="0">
      <text>
        <r>
          <rPr>
            <sz val="11"/>
            <color theme="1"/>
            <rFont val="Calibri"/>
            <family val="2"/>
            <scheme val="minor"/>
          </rPr>
          <t>Seleccione el tipo de procedimiento</t>
        </r>
      </text>
    </comment>
    <comment ref="E2254" authorId="2" shapeId="0">
      <text>
        <r>
          <rPr>
            <sz val="11"/>
            <color theme="1"/>
            <rFont val="Calibri"/>
            <family val="2"/>
            <scheme val="minor"/>
          </rPr>
          <t>Seleccione un valor de la lista</t>
        </r>
      </text>
    </comment>
    <comment ref="F2254" authorId="2" shapeId="0">
      <text>
        <r>
          <rPr>
            <sz val="11"/>
            <color theme="1"/>
            <rFont val="Calibri"/>
            <family val="2"/>
            <scheme val="minor"/>
          </rPr>
          <t>Introduzca el código SNIP</t>
        </r>
      </text>
    </comment>
    <comment ref="C2255" authorId="2" shapeId="0">
      <text>
        <r>
          <rPr>
            <sz val="11"/>
            <color theme="1"/>
            <rFont val="Calibri"/>
            <family val="2"/>
            <scheme val="minor"/>
          </rPr>
          <t>Introduzca la fecha de inicio del proceso, en formato dd-mm-aaaa</t>
        </r>
      </text>
    </comment>
    <comment ref="F22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6" authorId="2" shapeId="0">
      <text/>
    </comment>
    <comment ref="C2257" authorId="2" shapeId="0">
      <text>
        <r>
          <rPr>
            <sz val="11"/>
            <color theme="1"/>
            <rFont val="Calibri"/>
            <family val="2"/>
            <scheme val="minor"/>
          </rPr>
          <t>Introduzca la fecha prevista de adjudicación, en formato dd-mm-aaaa</t>
        </r>
      </text>
    </comment>
    <comment ref="F2257" authorId="2" shapeId="0">
      <text/>
    </comment>
    <comment ref="F2258" authorId="2" shapeId="0">
      <text/>
    </comment>
    <comment ref="A2260" authorId="2" shapeId="0">
      <text>
        <r>
          <rPr>
            <sz val="11"/>
            <color theme="1"/>
            <rFont val="Calibri"/>
            <family val="2"/>
            <scheme val="minor"/>
          </rPr>
          <t>Introduzca un codigo UNSPSC</t>
        </r>
      </text>
    </comment>
    <comment ref="B2260" authorId="2" shapeId="0">
      <text>
        <r>
          <rPr>
            <sz val="11"/>
            <color theme="1"/>
            <rFont val="Calibri"/>
            <family val="2"/>
            <scheme val="minor"/>
          </rPr>
          <t>Descripción calculada automáticamente a partir de código del artículo</t>
        </r>
      </text>
    </comment>
    <comment ref="C2260" authorId="2" shapeId="0">
      <text>
        <r>
          <rPr>
            <sz val="11"/>
            <color theme="1"/>
            <rFont val="Calibri"/>
            <family val="2"/>
            <scheme val="minor"/>
          </rPr>
          <t>Seleccione un valor de la lista</t>
        </r>
      </text>
    </comment>
    <comment ref="D2260" authorId="2" shapeId="0">
      <text>
        <r>
          <rPr>
            <sz val="11"/>
            <color theme="1"/>
            <rFont val="Calibri"/>
            <family val="2"/>
            <scheme val="minor"/>
          </rPr>
          <t>Introduzca un número con dos decimales como máximo. Debe ser igual o mayor a la "Cantidad Real Consumida"</t>
        </r>
      </text>
    </comment>
    <comment ref="E2260" authorId="2" shapeId="0">
      <text>
        <r>
          <rPr>
            <sz val="11"/>
            <color theme="1"/>
            <rFont val="Calibri"/>
            <family val="2"/>
            <scheme val="minor"/>
          </rPr>
          <t>Introduzca un número con dos decimales como máximo</t>
        </r>
      </text>
    </comment>
    <comment ref="F2260" authorId="2" shapeId="0">
      <text>
        <r>
          <rPr>
            <sz val="11"/>
            <color theme="1"/>
            <rFont val="Calibri"/>
            <family val="2"/>
            <scheme val="minor"/>
          </rPr>
          <t>Monto calculado automáticamente por el sistema</t>
        </r>
      </text>
    </comment>
    <comment ref="A2298" authorId="1" shapeId="0">
      <text>
        <r>
          <rPr>
            <sz val="11"/>
            <color theme="1"/>
            <rFont val="Calibri"/>
            <family val="2"/>
            <scheme val="minor"/>
          </rPr>
          <t>Introducir un texto con el nombre o referencia de la contratación</t>
        </r>
      </text>
    </comment>
    <comment ref="B2298" authorId="1" shapeId="0">
      <text>
        <r>
          <rPr>
            <sz val="11"/>
            <color theme="1"/>
            <rFont val="Calibri"/>
            <family val="2"/>
            <scheme val="minor"/>
          </rPr>
          <t>Introduzca un texto con la finalidad de la contratación</t>
        </r>
      </text>
    </comment>
    <comment ref="C2298" authorId="1" shapeId="0">
      <text>
        <r>
          <rPr>
            <sz val="11"/>
            <color theme="1"/>
            <rFont val="Calibri"/>
            <family val="2"/>
            <scheme val="minor"/>
          </rPr>
          <t>Seleccionar un valor del listado</t>
        </r>
      </text>
    </comment>
    <comment ref="D2298" authorId="1" shapeId="0">
      <text>
        <r>
          <rPr>
            <sz val="11"/>
            <color theme="1"/>
            <rFont val="Calibri"/>
            <family val="2"/>
            <scheme val="minor"/>
          </rPr>
          <t>Seleccione el tipo de procedimiento</t>
        </r>
      </text>
    </comment>
    <comment ref="E2298" authorId="1" shapeId="0">
      <text>
        <r>
          <rPr>
            <sz val="11"/>
            <color theme="1"/>
            <rFont val="Calibri"/>
            <family val="2"/>
            <scheme val="minor"/>
          </rPr>
          <t>Seleccione un valor de la lista</t>
        </r>
      </text>
    </comment>
    <comment ref="F2298" authorId="2" shapeId="0">
      <text>
        <r>
          <rPr>
            <sz val="11"/>
            <color theme="1"/>
            <rFont val="Calibri"/>
            <family val="2"/>
            <scheme val="minor"/>
          </rPr>
          <t>Introduzca el código SNIP</t>
        </r>
      </text>
    </comment>
    <comment ref="C2299" authorId="2" shapeId="0">
      <text>
        <r>
          <rPr>
            <sz val="11"/>
            <color theme="1"/>
            <rFont val="Calibri"/>
            <family val="2"/>
            <scheme val="minor"/>
          </rPr>
          <t>Introduzca la fecha de inicio del proceso, en formato dd-mm-aaaa</t>
        </r>
      </text>
    </comment>
    <comment ref="F22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0" authorId="2" shapeId="0">
      <text/>
    </comment>
    <comment ref="C2301" authorId="2" shapeId="0">
      <text>
        <r>
          <rPr>
            <sz val="11"/>
            <color theme="1"/>
            <rFont val="Calibri"/>
            <family val="2"/>
            <scheme val="minor"/>
          </rPr>
          <t>Introduzca la fecha prevista de adjudicación, en formato dd-mm-aaaa</t>
        </r>
      </text>
    </comment>
    <comment ref="F2301" authorId="2" shapeId="0">
      <text/>
    </comment>
    <comment ref="F2302" authorId="2" shapeId="0">
      <text/>
    </comment>
    <comment ref="A2304" authorId="2" shapeId="0">
      <text>
        <r>
          <rPr>
            <sz val="11"/>
            <color theme="1"/>
            <rFont val="Calibri"/>
            <family val="2"/>
            <scheme val="minor"/>
          </rPr>
          <t>Introduzca un codigo UNSPSC</t>
        </r>
      </text>
    </comment>
    <comment ref="B2304" authorId="2" shapeId="0">
      <text>
        <r>
          <rPr>
            <sz val="11"/>
            <color theme="1"/>
            <rFont val="Calibri"/>
            <family val="2"/>
            <scheme val="minor"/>
          </rPr>
          <t>Descripción calculada automáticamente a partir de código del artículo</t>
        </r>
      </text>
    </comment>
    <comment ref="C2304" authorId="2" shapeId="0">
      <text>
        <r>
          <rPr>
            <sz val="11"/>
            <color theme="1"/>
            <rFont val="Calibri"/>
            <family val="2"/>
            <scheme val="minor"/>
          </rPr>
          <t>Seleccione un valor de la lista</t>
        </r>
      </text>
    </comment>
    <comment ref="D2304" authorId="2" shapeId="0">
      <text>
        <r>
          <rPr>
            <sz val="11"/>
            <color theme="1"/>
            <rFont val="Calibri"/>
            <family val="2"/>
            <scheme val="minor"/>
          </rPr>
          <t>Introduzca un número con dos decimales como máximo. Debe ser igual o mayor a la "Cantidad Real Consumida"</t>
        </r>
      </text>
    </comment>
    <comment ref="E2304" authorId="2" shapeId="0">
      <text>
        <r>
          <rPr>
            <sz val="11"/>
            <color theme="1"/>
            <rFont val="Calibri"/>
            <family val="2"/>
            <scheme val="minor"/>
          </rPr>
          <t>Introduzca un número con dos decimales como máximo</t>
        </r>
      </text>
    </comment>
    <comment ref="F2304" authorId="2" shapeId="0">
      <text>
        <r>
          <rPr>
            <sz val="11"/>
            <color theme="1"/>
            <rFont val="Calibri"/>
            <family val="2"/>
            <scheme val="minor"/>
          </rPr>
          <t>Monto calculado automáticamente por el sistema</t>
        </r>
      </text>
    </comment>
    <comment ref="A2313" authorId="1" shapeId="0">
      <text>
        <r>
          <rPr>
            <sz val="11"/>
            <color theme="1"/>
            <rFont val="Calibri"/>
            <family val="2"/>
            <scheme val="minor"/>
          </rPr>
          <t>Introducir un texto con el nombre o referencia de la contratación</t>
        </r>
      </text>
    </comment>
    <comment ref="B2313" authorId="1" shapeId="0">
      <text>
        <r>
          <rPr>
            <sz val="11"/>
            <color theme="1"/>
            <rFont val="Calibri"/>
            <family val="2"/>
            <scheme val="minor"/>
          </rPr>
          <t>Introduzca un texto con la finalidad de la contratación</t>
        </r>
      </text>
    </comment>
    <comment ref="C2313" authorId="2" shapeId="0">
      <text>
        <r>
          <rPr>
            <sz val="11"/>
            <color theme="1"/>
            <rFont val="Calibri"/>
            <family val="2"/>
            <scheme val="minor"/>
          </rPr>
          <t>Seleccionar un valor del listado</t>
        </r>
      </text>
    </comment>
    <comment ref="D2313" authorId="2" shapeId="0">
      <text>
        <r>
          <rPr>
            <sz val="11"/>
            <color theme="1"/>
            <rFont val="Calibri"/>
            <family val="2"/>
            <scheme val="minor"/>
          </rPr>
          <t>Seleccione el tipo de procedimiento</t>
        </r>
      </text>
    </comment>
    <comment ref="E2313" authorId="2" shapeId="0">
      <text>
        <r>
          <rPr>
            <sz val="11"/>
            <color theme="1"/>
            <rFont val="Calibri"/>
            <family val="2"/>
            <scheme val="minor"/>
          </rPr>
          <t>Seleccione un valor de la lista</t>
        </r>
      </text>
    </comment>
    <comment ref="F2313" authorId="2" shapeId="0">
      <text>
        <r>
          <rPr>
            <sz val="11"/>
            <color theme="1"/>
            <rFont val="Calibri"/>
            <family val="2"/>
            <scheme val="minor"/>
          </rPr>
          <t>Introduzca el código SNIP</t>
        </r>
      </text>
    </comment>
    <comment ref="C2314" authorId="2" shapeId="0">
      <text>
        <r>
          <rPr>
            <sz val="11"/>
            <color theme="1"/>
            <rFont val="Calibri"/>
            <family val="2"/>
            <scheme val="minor"/>
          </rPr>
          <t>Introduzca la fecha de inicio del proceso, en formato dd-mm-aaaa</t>
        </r>
      </text>
    </comment>
    <comment ref="F2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5" authorId="2" shapeId="0">
      <text/>
    </comment>
    <comment ref="C2316" authorId="2" shapeId="0">
      <text>
        <r>
          <rPr>
            <sz val="11"/>
            <color theme="1"/>
            <rFont val="Calibri"/>
            <family val="2"/>
            <scheme val="minor"/>
          </rPr>
          <t>Introduzca la fecha prevista de adjudicación, en formato dd-mm-aaaa</t>
        </r>
      </text>
    </comment>
    <comment ref="F2316" authorId="2" shapeId="0">
      <text/>
    </comment>
    <comment ref="F2317" authorId="2" shapeId="0">
      <text/>
    </comment>
    <comment ref="A2319" authorId="2" shapeId="0">
      <text>
        <r>
          <rPr>
            <sz val="11"/>
            <color theme="1"/>
            <rFont val="Calibri"/>
            <family val="2"/>
            <scheme val="minor"/>
          </rPr>
          <t>Introduzca un codigo UNSPSC</t>
        </r>
      </text>
    </comment>
    <comment ref="B2319" authorId="2" shapeId="0">
      <text>
        <r>
          <rPr>
            <sz val="11"/>
            <color theme="1"/>
            <rFont val="Calibri"/>
            <family val="2"/>
            <scheme val="minor"/>
          </rPr>
          <t>Descripción calculada automáticamente a partir de código del artículo</t>
        </r>
      </text>
    </comment>
    <comment ref="C2319" authorId="2" shapeId="0">
      <text>
        <r>
          <rPr>
            <sz val="11"/>
            <color theme="1"/>
            <rFont val="Calibri"/>
            <family val="2"/>
            <scheme val="minor"/>
          </rPr>
          <t>Seleccione un valor de la lista</t>
        </r>
      </text>
    </comment>
    <comment ref="D2319" authorId="2" shapeId="0">
      <text>
        <r>
          <rPr>
            <sz val="11"/>
            <color theme="1"/>
            <rFont val="Calibri"/>
            <family val="2"/>
            <scheme val="minor"/>
          </rPr>
          <t>Introduzca un número con dos decimales como máximo. Debe ser igual o mayor a la "Cantidad Real Consumida"</t>
        </r>
      </text>
    </comment>
    <comment ref="E2319" authorId="2" shapeId="0">
      <text>
        <r>
          <rPr>
            <sz val="11"/>
            <color theme="1"/>
            <rFont val="Calibri"/>
            <family val="2"/>
            <scheme val="minor"/>
          </rPr>
          <t>Introduzca un número con dos decimales como máximo</t>
        </r>
      </text>
    </comment>
    <comment ref="F2319" authorId="2" shapeId="0">
      <text>
        <r>
          <rPr>
            <sz val="11"/>
            <color theme="1"/>
            <rFont val="Calibri"/>
            <family val="2"/>
            <scheme val="minor"/>
          </rPr>
          <t>Monto calculado automáticamente por el sistema</t>
        </r>
      </text>
    </comment>
    <comment ref="A2327" authorId="2" shapeId="0">
      <text>
        <r>
          <rPr>
            <sz val="11"/>
            <color theme="1"/>
            <rFont val="Calibri"/>
            <family val="2"/>
            <scheme val="minor"/>
          </rPr>
          <t>Introducir un texto con el nombre o referencia de la contratación</t>
        </r>
      </text>
    </comment>
    <comment ref="B2327" authorId="2" shapeId="0">
      <text>
        <r>
          <rPr>
            <sz val="11"/>
            <color theme="1"/>
            <rFont val="Calibri"/>
            <family val="2"/>
            <scheme val="minor"/>
          </rPr>
          <t>Introduzca un texto con la finalidad de la contratación</t>
        </r>
      </text>
    </comment>
    <comment ref="C2327" authorId="2" shapeId="0">
      <text>
        <r>
          <rPr>
            <sz val="11"/>
            <color theme="1"/>
            <rFont val="Calibri"/>
            <family val="2"/>
            <scheme val="minor"/>
          </rPr>
          <t>Seleccionar un valor del listado</t>
        </r>
      </text>
    </comment>
    <comment ref="D2327" authorId="2" shapeId="0">
      <text>
        <r>
          <rPr>
            <sz val="11"/>
            <color theme="1"/>
            <rFont val="Calibri"/>
            <family val="2"/>
            <scheme val="minor"/>
          </rPr>
          <t>Seleccione el tipo de procedimiento</t>
        </r>
      </text>
    </comment>
    <comment ref="E2327" authorId="2" shapeId="0">
      <text>
        <r>
          <rPr>
            <sz val="11"/>
            <color theme="1"/>
            <rFont val="Calibri"/>
            <family val="2"/>
            <scheme val="minor"/>
          </rPr>
          <t>Seleccione un valor de la lista</t>
        </r>
      </text>
    </comment>
    <comment ref="F2327" authorId="2" shapeId="0">
      <text>
        <r>
          <rPr>
            <sz val="11"/>
            <color theme="1"/>
            <rFont val="Calibri"/>
            <family val="2"/>
            <scheme val="minor"/>
          </rPr>
          <t>Introduzca el código SNIP</t>
        </r>
      </text>
    </comment>
    <comment ref="C2328" authorId="2" shapeId="0">
      <text>
        <r>
          <rPr>
            <sz val="11"/>
            <color theme="1"/>
            <rFont val="Calibri"/>
            <family val="2"/>
            <scheme val="minor"/>
          </rPr>
          <t>Introduzca la fecha de inicio del proceso, en formato dd-mm-aaaa</t>
        </r>
      </text>
    </comment>
    <comment ref="F23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9" authorId="2" shapeId="0">
      <text/>
    </comment>
    <comment ref="C2330" authorId="2" shapeId="0">
      <text>
        <r>
          <rPr>
            <sz val="11"/>
            <color theme="1"/>
            <rFont val="Calibri"/>
            <family val="2"/>
            <scheme val="minor"/>
          </rPr>
          <t>Introduzca la fecha prevista de adjudicación, en formato dd-mm-aaaa</t>
        </r>
      </text>
    </comment>
    <comment ref="F2330" authorId="2" shapeId="0">
      <text/>
    </comment>
    <comment ref="F2331" authorId="2" shapeId="0">
      <text/>
    </comment>
    <comment ref="A2333" authorId="2" shapeId="0">
      <text>
        <r>
          <rPr>
            <sz val="11"/>
            <color theme="1"/>
            <rFont val="Calibri"/>
            <family val="2"/>
            <scheme val="minor"/>
          </rPr>
          <t>Introduzca un codigo UNSPSC</t>
        </r>
      </text>
    </comment>
    <comment ref="B2333" authorId="2" shapeId="0">
      <text>
        <r>
          <rPr>
            <sz val="11"/>
            <color theme="1"/>
            <rFont val="Calibri"/>
            <family val="2"/>
            <scheme val="minor"/>
          </rPr>
          <t>Descripción calculada automáticamente a partir de código del artículo</t>
        </r>
      </text>
    </comment>
    <comment ref="C2333" authorId="2" shapeId="0">
      <text>
        <r>
          <rPr>
            <sz val="11"/>
            <color theme="1"/>
            <rFont val="Calibri"/>
            <family val="2"/>
            <scheme val="minor"/>
          </rPr>
          <t>Seleccione un valor de la lista</t>
        </r>
      </text>
    </comment>
    <comment ref="D2333" authorId="2" shapeId="0">
      <text>
        <r>
          <rPr>
            <sz val="11"/>
            <color theme="1"/>
            <rFont val="Calibri"/>
            <family val="2"/>
            <scheme val="minor"/>
          </rPr>
          <t>Introduzca un número con dos decimales como máximo. Debe ser igual o mayor a la "Cantidad Real Consumida"</t>
        </r>
      </text>
    </comment>
    <comment ref="E2333" authorId="2" shapeId="0">
      <text>
        <r>
          <rPr>
            <sz val="11"/>
            <color theme="1"/>
            <rFont val="Calibri"/>
            <family val="2"/>
            <scheme val="minor"/>
          </rPr>
          <t>Introduzca un número con dos decimales como máximo</t>
        </r>
      </text>
    </comment>
    <comment ref="F2333" authorId="2" shapeId="0">
      <text>
        <r>
          <rPr>
            <sz val="11"/>
            <color theme="1"/>
            <rFont val="Calibri"/>
            <family val="2"/>
            <scheme val="minor"/>
          </rPr>
          <t>Monto calculado automáticamente por el sistema</t>
        </r>
      </text>
    </comment>
    <comment ref="A2339" authorId="2" shapeId="0">
      <text>
        <r>
          <rPr>
            <sz val="11"/>
            <color theme="1"/>
            <rFont val="Calibri"/>
            <family val="2"/>
            <scheme val="minor"/>
          </rPr>
          <t>Introducir un texto con el nombre o referencia de la contratación</t>
        </r>
      </text>
    </comment>
    <comment ref="B2339" authorId="2" shapeId="0">
      <text>
        <r>
          <rPr>
            <sz val="11"/>
            <color theme="1"/>
            <rFont val="Calibri"/>
            <family val="2"/>
            <scheme val="minor"/>
          </rPr>
          <t>Introduzca un texto con la finalidad de la contratación</t>
        </r>
      </text>
    </comment>
    <comment ref="C2339" authorId="2" shapeId="0">
      <text>
        <r>
          <rPr>
            <sz val="11"/>
            <color theme="1"/>
            <rFont val="Calibri"/>
            <family val="2"/>
            <scheme val="minor"/>
          </rPr>
          <t>Seleccionar un valor del listado</t>
        </r>
      </text>
    </comment>
    <comment ref="D2339" authorId="2" shapeId="0">
      <text>
        <r>
          <rPr>
            <sz val="11"/>
            <color theme="1"/>
            <rFont val="Calibri"/>
            <family val="2"/>
            <scheme val="minor"/>
          </rPr>
          <t>Seleccione el tipo de procedimiento</t>
        </r>
      </text>
    </comment>
    <comment ref="E2339" authorId="2" shapeId="0">
      <text>
        <r>
          <rPr>
            <sz val="11"/>
            <color theme="1"/>
            <rFont val="Calibri"/>
            <family val="2"/>
            <scheme val="minor"/>
          </rPr>
          <t>Seleccione un valor de la lista</t>
        </r>
      </text>
    </comment>
    <comment ref="F2339" authorId="2" shapeId="0">
      <text>
        <r>
          <rPr>
            <sz val="11"/>
            <color theme="1"/>
            <rFont val="Calibri"/>
            <family val="2"/>
            <scheme val="minor"/>
          </rPr>
          <t>Introduzca el código SNIP</t>
        </r>
      </text>
    </comment>
    <comment ref="C2340" authorId="2" shapeId="0">
      <text>
        <r>
          <rPr>
            <sz val="11"/>
            <color theme="1"/>
            <rFont val="Calibri"/>
            <family val="2"/>
            <scheme val="minor"/>
          </rPr>
          <t>Introduzca la fecha de inicio del proceso, en formato dd-mm-aaaa</t>
        </r>
      </text>
    </comment>
    <comment ref="F2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1" authorId="2" shapeId="0">
      <text/>
    </comment>
    <comment ref="C2342" authorId="2" shapeId="0">
      <text>
        <r>
          <rPr>
            <sz val="11"/>
            <color theme="1"/>
            <rFont val="Calibri"/>
            <family val="2"/>
            <scheme val="minor"/>
          </rPr>
          <t>Introduzca la fecha prevista de adjudicación, en formato dd-mm-aaaa</t>
        </r>
      </text>
    </comment>
    <comment ref="F2342" authorId="2" shapeId="0">
      <text/>
    </comment>
    <comment ref="F2343" authorId="2" shapeId="0">
      <text/>
    </comment>
    <comment ref="A2345" authorId="2" shapeId="0">
      <text>
        <r>
          <rPr>
            <sz val="11"/>
            <color theme="1"/>
            <rFont val="Calibri"/>
            <family val="2"/>
            <scheme val="minor"/>
          </rPr>
          <t>Introduzca un codigo UNSPSC</t>
        </r>
      </text>
    </comment>
    <comment ref="B2345" authorId="2" shapeId="0">
      <text>
        <r>
          <rPr>
            <sz val="11"/>
            <color theme="1"/>
            <rFont val="Calibri"/>
            <family val="2"/>
            <scheme val="minor"/>
          </rPr>
          <t>Descripción calculada automáticamente a partir de código del artículo</t>
        </r>
      </text>
    </comment>
    <comment ref="C2345" authorId="2" shapeId="0">
      <text>
        <r>
          <rPr>
            <sz val="11"/>
            <color theme="1"/>
            <rFont val="Calibri"/>
            <family val="2"/>
            <scheme val="minor"/>
          </rPr>
          <t>Seleccione un valor de la lista</t>
        </r>
      </text>
    </comment>
    <comment ref="D2345" authorId="2" shapeId="0">
      <text>
        <r>
          <rPr>
            <sz val="11"/>
            <color theme="1"/>
            <rFont val="Calibri"/>
            <family val="2"/>
            <scheme val="minor"/>
          </rPr>
          <t>Introduzca un número con dos decimales como máximo. Debe ser igual o mayor a la "Cantidad Real Consumida"</t>
        </r>
      </text>
    </comment>
    <comment ref="E2345" authorId="2" shapeId="0">
      <text>
        <r>
          <rPr>
            <sz val="11"/>
            <color theme="1"/>
            <rFont val="Calibri"/>
            <family val="2"/>
            <scheme val="minor"/>
          </rPr>
          <t>Introduzca un número con dos decimales como máximo</t>
        </r>
      </text>
    </comment>
    <comment ref="F2345" authorId="2" shapeId="0">
      <text>
        <r>
          <rPr>
            <sz val="11"/>
            <color theme="1"/>
            <rFont val="Calibri"/>
            <family val="2"/>
            <scheme val="minor"/>
          </rPr>
          <t>Monto calculado automáticamente por el sistema</t>
        </r>
      </text>
    </comment>
    <comment ref="A2350" authorId="1" shapeId="0">
      <text>
        <r>
          <rPr>
            <sz val="11"/>
            <color theme="1"/>
            <rFont val="Calibri"/>
            <family val="2"/>
            <scheme val="minor"/>
          </rPr>
          <t>Introducir un texto con el nombre o referencia de la contratación</t>
        </r>
      </text>
    </comment>
    <comment ref="B2350" authorId="1" shapeId="0">
      <text>
        <r>
          <rPr>
            <sz val="11"/>
            <color theme="1"/>
            <rFont val="Calibri"/>
            <family val="2"/>
            <scheme val="minor"/>
          </rPr>
          <t>Introduzca un texto con la finalidad de la contratación</t>
        </r>
      </text>
    </comment>
    <comment ref="C2350" authorId="1" shapeId="0">
      <text>
        <r>
          <rPr>
            <sz val="11"/>
            <color theme="1"/>
            <rFont val="Calibri"/>
            <family val="2"/>
            <scheme val="minor"/>
          </rPr>
          <t>Seleccionar un valor del listado</t>
        </r>
      </text>
    </comment>
    <comment ref="D2350" authorId="1" shapeId="0">
      <text>
        <r>
          <rPr>
            <sz val="11"/>
            <color theme="1"/>
            <rFont val="Calibri"/>
            <family val="2"/>
            <scheme val="minor"/>
          </rPr>
          <t>Seleccione el tipo de procedimiento</t>
        </r>
      </text>
    </comment>
    <comment ref="E2350" authorId="1" shapeId="0">
      <text>
        <r>
          <rPr>
            <sz val="11"/>
            <color theme="1"/>
            <rFont val="Calibri"/>
            <family val="2"/>
            <scheme val="minor"/>
          </rPr>
          <t>Seleccione un valor de la lista</t>
        </r>
      </text>
    </comment>
    <comment ref="F2350" authorId="2" shapeId="0">
      <text>
        <r>
          <rPr>
            <sz val="11"/>
            <color theme="1"/>
            <rFont val="Calibri"/>
            <family val="2"/>
            <scheme val="minor"/>
          </rPr>
          <t>Introduzca el código SNIP</t>
        </r>
      </text>
    </comment>
    <comment ref="C2351" authorId="2" shapeId="0">
      <text>
        <r>
          <rPr>
            <sz val="11"/>
            <color theme="1"/>
            <rFont val="Calibri"/>
            <family val="2"/>
            <scheme val="minor"/>
          </rPr>
          <t>Introduzca la fecha de inicio del proceso, en formato dd-mm-aaaa</t>
        </r>
      </text>
    </comment>
    <comment ref="F2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2" authorId="2" shapeId="0">
      <text/>
    </comment>
    <comment ref="C2353" authorId="2" shapeId="0">
      <text>
        <r>
          <rPr>
            <sz val="11"/>
            <color theme="1"/>
            <rFont val="Calibri"/>
            <family val="2"/>
            <scheme val="minor"/>
          </rPr>
          <t>Introduzca la fecha prevista de adjudicación, en formato dd-mm-aaaa</t>
        </r>
      </text>
    </comment>
    <comment ref="F2353" authorId="2" shapeId="0">
      <text/>
    </comment>
    <comment ref="F2354" authorId="2" shapeId="0">
      <text/>
    </comment>
    <comment ref="A2356" authorId="2" shapeId="0">
      <text>
        <r>
          <rPr>
            <sz val="11"/>
            <color theme="1"/>
            <rFont val="Calibri"/>
            <family val="2"/>
            <scheme val="minor"/>
          </rPr>
          <t>Introduzca un codigo UNSPSC</t>
        </r>
      </text>
    </comment>
    <comment ref="B2356" authorId="2" shapeId="0">
      <text>
        <r>
          <rPr>
            <sz val="11"/>
            <color theme="1"/>
            <rFont val="Calibri"/>
            <family val="2"/>
            <scheme val="minor"/>
          </rPr>
          <t>Descripción calculada automáticamente a partir de código del artículo</t>
        </r>
      </text>
    </comment>
    <comment ref="C2356" authorId="2" shapeId="0">
      <text>
        <r>
          <rPr>
            <sz val="11"/>
            <color theme="1"/>
            <rFont val="Calibri"/>
            <family val="2"/>
            <scheme val="minor"/>
          </rPr>
          <t>Seleccione un valor de la lista</t>
        </r>
      </text>
    </comment>
    <comment ref="D2356" authorId="2" shapeId="0">
      <text>
        <r>
          <rPr>
            <sz val="11"/>
            <color theme="1"/>
            <rFont val="Calibri"/>
            <family val="2"/>
            <scheme val="minor"/>
          </rPr>
          <t>Introduzca un número con dos decimales como máximo. Debe ser igual o mayor a la "Cantidad Real Consumida"</t>
        </r>
      </text>
    </comment>
    <comment ref="E2356" authorId="2" shapeId="0">
      <text>
        <r>
          <rPr>
            <sz val="11"/>
            <color theme="1"/>
            <rFont val="Calibri"/>
            <family val="2"/>
            <scheme val="minor"/>
          </rPr>
          <t>Introduzca un número con dos decimales como máximo</t>
        </r>
      </text>
    </comment>
    <comment ref="F2356" authorId="2" shapeId="0">
      <text>
        <r>
          <rPr>
            <sz val="11"/>
            <color theme="1"/>
            <rFont val="Calibri"/>
            <family val="2"/>
            <scheme val="minor"/>
          </rPr>
          <t>Monto calculado automáticamente por el sistema</t>
        </r>
      </text>
    </comment>
    <comment ref="A2362" authorId="2" shapeId="0">
      <text>
        <r>
          <rPr>
            <sz val="11"/>
            <color theme="1"/>
            <rFont val="Calibri"/>
            <family val="2"/>
            <scheme val="minor"/>
          </rPr>
          <t>Introducir un texto con el nombre o referencia de la contratación</t>
        </r>
      </text>
    </comment>
    <comment ref="B2362" authorId="2" shapeId="0">
      <text>
        <r>
          <rPr>
            <sz val="11"/>
            <color theme="1"/>
            <rFont val="Calibri"/>
            <family val="2"/>
            <scheme val="minor"/>
          </rPr>
          <t>Introduzca un texto con la finalidad de la contratación</t>
        </r>
      </text>
    </comment>
    <comment ref="C2362" authorId="2" shapeId="0">
      <text>
        <r>
          <rPr>
            <sz val="11"/>
            <color theme="1"/>
            <rFont val="Calibri"/>
            <family val="2"/>
            <scheme val="minor"/>
          </rPr>
          <t>Seleccionar un valor del listado</t>
        </r>
      </text>
    </comment>
    <comment ref="D2362" authorId="2" shapeId="0">
      <text>
        <r>
          <rPr>
            <sz val="11"/>
            <color theme="1"/>
            <rFont val="Calibri"/>
            <family val="2"/>
            <scheme val="minor"/>
          </rPr>
          <t>Seleccione el tipo de procedimiento</t>
        </r>
      </text>
    </comment>
    <comment ref="E2362" authorId="2" shapeId="0">
      <text>
        <r>
          <rPr>
            <sz val="11"/>
            <color theme="1"/>
            <rFont val="Calibri"/>
            <family val="2"/>
            <scheme val="minor"/>
          </rPr>
          <t>Seleccione un valor de la lista</t>
        </r>
      </text>
    </comment>
    <comment ref="F2362" authorId="2" shapeId="0">
      <text>
        <r>
          <rPr>
            <sz val="11"/>
            <color theme="1"/>
            <rFont val="Calibri"/>
            <family val="2"/>
            <scheme val="minor"/>
          </rPr>
          <t>Introduzca el código SNIP</t>
        </r>
      </text>
    </comment>
    <comment ref="C2363" authorId="2" shapeId="0">
      <text>
        <r>
          <rPr>
            <sz val="11"/>
            <color theme="1"/>
            <rFont val="Calibri"/>
            <family val="2"/>
            <scheme val="minor"/>
          </rPr>
          <t>Introduzca la fecha de inicio del proceso, en formato dd-mm-aaaa</t>
        </r>
      </text>
    </comment>
    <comment ref="F23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4" authorId="2" shapeId="0">
      <text/>
    </comment>
    <comment ref="C2365" authorId="2" shapeId="0">
      <text>
        <r>
          <rPr>
            <sz val="11"/>
            <color theme="1"/>
            <rFont val="Calibri"/>
            <family val="2"/>
            <scheme val="minor"/>
          </rPr>
          <t>Introduzca la fecha prevista de adjudicación, en formato dd-mm-aaaa</t>
        </r>
      </text>
    </comment>
    <comment ref="F2365" authorId="2" shapeId="0">
      <text/>
    </comment>
    <comment ref="F2366" authorId="2" shapeId="0">
      <text/>
    </comment>
    <comment ref="A2368" authorId="2" shapeId="0">
      <text>
        <r>
          <rPr>
            <sz val="11"/>
            <color theme="1"/>
            <rFont val="Calibri"/>
            <family val="2"/>
            <scheme val="minor"/>
          </rPr>
          <t>Introduzca un codigo UNSPSC</t>
        </r>
      </text>
    </comment>
    <comment ref="B2368" authorId="2" shapeId="0">
      <text>
        <r>
          <rPr>
            <sz val="11"/>
            <color theme="1"/>
            <rFont val="Calibri"/>
            <family val="2"/>
            <scheme val="minor"/>
          </rPr>
          <t>Descripción calculada automáticamente a partir de código del artículo</t>
        </r>
      </text>
    </comment>
    <comment ref="C2368" authorId="2" shapeId="0">
      <text>
        <r>
          <rPr>
            <sz val="11"/>
            <color theme="1"/>
            <rFont val="Calibri"/>
            <family val="2"/>
            <scheme val="minor"/>
          </rPr>
          <t>Seleccione un valor de la lista</t>
        </r>
      </text>
    </comment>
    <comment ref="D2368" authorId="2" shapeId="0">
      <text>
        <r>
          <rPr>
            <sz val="11"/>
            <color theme="1"/>
            <rFont val="Calibri"/>
            <family val="2"/>
            <scheme val="minor"/>
          </rPr>
          <t>Introduzca un número con dos decimales como máximo. Debe ser igual o mayor a la "Cantidad Real Consumida"</t>
        </r>
      </text>
    </comment>
    <comment ref="E2368" authorId="2" shapeId="0">
      <text>
        <r>
          <rPr>
            <sz val="11"/>
            <color theme="1"/>
            <rFont val="Calibri"/>
            <family val="2"/>
            <scheme val="minor"/>
          </rPr>
          <t>Introduzca un número con dos decimales como máximo</t>
        </r>
      </text>
    </comment>
    <comment ref="F2368" authorId="2" shapeId="0">
      <text>
        <r>
          <rPr>
            <sz val="11"/>
            <color theme="1"/>
            <rFont val="Calibri"/>
            <family val="2"/>
            <scheme val="minor"/>
          </rPr>
          <t>Monto calculado automáticamente por el sistema</t>
        </r>
      </text>
    </comment>
    <comment ref="A2373" authorId="2" shapeId="0">
      <text>
        <r>
          <rPr>
            <sz val="11"/>
            <color theme="1"/>
            <rFont val="Calibri"/>
            <family val="2"/>
            <scheme val="minor"/>
          </rPr>
          <t>Introducir un texto con el nombre o referencia de la contratación</t>
        </r>
      </text>
    </comment>
    <comment ref="B2373" authorId="2" shapeId="0">
      <text>
        <r>
          <rPr>
            <sz val="11"/>
            <color theme="1"/>
            <rFont val="Calibri"/>
            <family val="2"/>
            <scheme val="minor"/>
          </rPr>
          <t>Introduzca un texto con la finalidad de la contratación</t>
        </r>
      </text>
    </comment>
    <comment ref="C2373" authorId="2" shapeId="0">
      <text>
        <r>
          <rPr>
            <sz val="11"/>
            <color theme="1"/>
            <rFont val="Calibri"/>
            <family val="2"/>
            <scheme val="minor"/>
          </rPr>
          <t>Seleccionar un valor del listado</t>
        </r>
      </text>
    </comment>
    <comment ref="D2373" authorId="2" shapeId="0">
      <text>
        <r>
          <rPr>
            <sz val="11"/>
            <color theme="1"/>
            <rFont val="Calibri"/>
            <family val="2"/>
            <scheme val="minor"/>
          </rPr>
          <t>Seleccione el tipo de procedimiento</t>
        </r>
      </text>
    </comment>
    <comment ref="E2373" authorId="2" shapeId="0">
      <text>
        <r>
          <rPr>
            <sz val="11"/>
            <color theme="1"/>
            <rFont val="Calibri"/>
            <family val="2"/>
            <scheme val="minor"/>
          </rPr>
          <t>Seleccione un valor de la lista</t>
        </r>
      </text>
    </comment>
    <comment ref="F2373" authorId="2" shapeId="0">
      <text>
        <r>
          <rPr>
            <sz val="11"/>
            <color theme="1"/>
            <rFont val="Calibri"/>
            <family val="2"/>
            <scheme val="minor"/>
          </rPr>
          <t>Introduzca el código SNIP</t>
        </r>
      </text>
    </comment>
    <comment ref="C2374" authorId="2" shapeId="0">
      <text>
        <r>
          <rPr>
            <sz val="11"/>
            <color theme="1"/>
            <rFont val="Calibri"/>
            <family val="2"/>
            <scheme val="minor"/>
          </rPr>
          <t>Introduzca la fecha de inicio del proceso, en formato dd-mm-aaaa</t>
        </r>
      </text>
    </comment>
    <comment ref="F23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5" authorId="2" shapeId="0">
      <text/>
    </comment>
    <comment ref="C2376" authorId="2" shapeId="0">
      <text>
        <r>
          <rPr>
            <sz val="11"/>
            <color theme="1"/>
            <rFont val="Calibri"/>
            <family val="2"/>
            <scheme val="minor"/>
          </rPr>
          <t>Introduzca la fecha prevista de adjudicación, en formato dd-mm-aaaa</t>
        </r>
      </text>
    </comment>
    <comment ref="F2376" authorId="2" shapeId="0">
      <text/>
    </comment>
    <comment ref="F2377" authorId="2" shapeId="0">
      <text/>
    </comment>
    <comment ref="A2379" authorId="2" shapeId="0">
      <text>
        <r>
          <rPr>
            <sz val="11"/>
            <color theme="1"/>
            <rFont val="Calibri"/>
            <family val="2"/>
            <scheme val="minor"/>
          </rPr>
          <t>Introduzca un codigo UNSPSC</t>
        </r>
      </text>
    </comment>
    <comment ref="B2379" authorId="2" shapeId="0">
      <text>
        <r>
          <rPr>
            <sz val="11"/>
            <color theme="1"/>
            <rFont val="Calibri"/>
            <family val="2"/>
            <scheme val="minor"/>
          </rPr>
          <t>Descripción calculada automáticamente a partir de código del artículo</t>
        </r>
      </text>
    </comment>
    <comment ref="C2379" authorId="2" shapeId="0">
      <text>
        <r>
          <rPr>
            <sz val="11"/>
            <color theme="1"/>
            <rFont val="Calibri"/>
            <family val="2"/>
            <scheme val="minor"/>
          </rPr>
          <t>Seleccione un valor de la lista</t>
        </r>
      </text>
    </comment>
    <comment ref="D2379" authorId="2" shapeId="0">
      <text>
        <r>
          <rPr>
            <sz val="11"/>
            <color theme="1"/>
            <rFont val="Calibri"/>
            <family val="2"/>
            <scheme val="minor"/>
          </rPr>
          <t>Introduzca un número con dos decimales como máximo. Debe ser igual o mayor a la "Cantidad Real Consumida"</t>
        </r>
      </text>
    </comment>
    <comment ref="E2379" authorId="2" shapeId="0">
      <text>
        <r>
          <rPr>
            <sz val="11"/>
            <color theme="1"/>
            <rFont val="Calibri"/>
            <family val="2"/>
            <scheme val="minor"/>
          </rPr>
          <t>Introduzca un número con dos decimales como máximo</t>
        </r>
      </text>
    </comment>
    <comment ref="F2379" authorId="2" shapeId="0">
      <text>
        <r>
          <rPr>
            <sz val="11"/>
            <color theme="1"/>
            <rFont val="Calibri"/>
            <family val="2"/>
            <scheme val="minor"/>
          </rPr>
          <t>Monto calculado automáticamente por el sistema</t>
        </r>
      </text>
    </comment>
    <comment ref="A2384" authorId="2" shapeId="0">
      <text>
        <r>
          <rPr>
            <sz val="11"/>
            <color theme="1"/>
            <rFont val="Calibri"/>
            <family val="2"/>
            <scheme val="minor"/>
          </rPr>
          <t>Introducir un texto con el nombre o referencia de la contratación</t>
        </r>
      </text>
    </comment>
    <comment ref="B2384" authorId="2" shapeId="0">
      <text>
        <r>
          <rPr>
            <sz val="11"/>
            <color theme="1"/>
            <rFont val="Calibri"/>
            <family val="2"/>
            <scheme val="minor"/>
          </rPr>
          <t>Introduzca un texto con la finalidad de la contratación</t>
        </r>
      </text>
    </comment>
    <comment ref="C2384" authorId="2" shapeId="0">
      <text>
        <r>
          <rPr>
            <sz val="11"/>
            <color theme="1"/>
            <rFont val="Calibri"/>
            <family val="2"/>
            <scheme val="minor"/>
          </rPr>
          <t>Seleccionar un valor del listado</t>
        </r>
      </text>
    </comment>
    <comment ref="D2384" authorId="2" shapeId="0">
      <text>
        <r>
          <rPr>
            <sz val="11"/>
            <color theme="1"/>
            <rFont val="Calibri"/>
            <family val="2"/>
            <scheme val="minor"/>
          </rPr>
          <t>Seleccione el tipo de procedimiento</t>
        </r>
      </text>
    </comment>
    <comment ref="E2384" authorId="2" shapeId="0">
      <text>
        <r>
          <rPr>
            <sz val="11"/>
            <color theme="1"/>
            <rFont val="Calibri"/>
            <family val="2"/>
            <scheme val="minor"/>
          </rPr>
          <t>Seleccione un valor de la lista</t>
        </r>
      </text>
    </comment>
    <comment ref="F2384" authorId="2" shapeId="0">
      <text>
        <r>
          <rPr>
            <sz val="11"/>
            <color theme="1"/>
            <rFont val="Calibri"/>
            <family val="2"/>
            <scheme val="minor"/>
          </rPr>
          <t>Introduzca el código SNIP</t>
        </r>
      </text>
    </comment>
    <comment ref="C2385" authorId="2" shapeId="0">
      <text>
        <r>
          <rPr>
            <sz val="11"/>
            <color theme="1"/>
            <rFont val="Calibri"/>
            <family val="2"/>
            <scheme val="minor"/>
          </rPr>
          <t>Introduzca la fecha de inicio del proceso, en formato dd-mm-aaaa</t>
        </r>
      </text>
    </comment>
    <comment ref="F23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6" authorId="2" shapeId="0">
      <text/>
    </comment>
    <comment ref="C2387" authorId="2" shapeId="0">
      <text>
        <r>
          <rPr>
            <sz val="11"/>
            <color theme="1"/>
            <rFont val="Calibri"/>
            <family val="2"/>
            <scheme val="minor"/>
          </rPr>
          <t>Introduzca la fecha prevista de adjudicación, en formato dd-mm-aaaa</t>
        </r>
      </text>
    </comment>
    <comment ref="F2387" authorId="2" shapeId="0">
      <text/>
    </comment>
    <comment ref="F2388" authorId="2" shapeId="0">
      <text/>
    </comment>
    <comment ref="A2390" authorId="2" shapeId="0">
      <text>
        <r>
          <rPr>
            <sz val="11"/>
            <color theme="1"/>
            <rFont val="Calibri"/>
            <family val="2"/>
            <scheme val="minor"/>
          </rPr>
          <t>Introduzca un codigo UNSPSC</t>
        </r>
      </text>
    </comment>
    <comment ref="B2390" authorId="2" shapeId="0">
      <text>
        <r>
          <rPr>
            <sz val="11"/>
            <color theme="1"/>
            <rFont val="Calibri"/>
            <family val="2"/>
            <scheme val="minor"/>
          </rPr>
          <t>Descripción calculada automáticamente a partir de código del artículo</t>
        </r>
      </text>
    </comment>
    <comment ref="C2390" authorId="2" shapeId="0">
      <text>
        <r>
          <rPr>
            <sz val="11"/>
            <color theme="1"/>
            <rFont val="Calibri"/>
            <family val="2"/>
            <scheme val="minor"/>
          </rPr>
          <t>Seleccione un valor de la lista</t>
        </r>
      </text>
    </comment>
    <comment ref="D2390" authorId="2" shapeId="0">
      <text>
        <r>
          <rPr>
            <sz val="11"/>
            <color theme="1"/>
            <rFont val="Calibri"/>
            <family val="2"/>
            <scheme val="minor"/>
          </rPr>
          <t>Introduzca un número con dos decimales como máximo. Debe ser igual o mayor a la "Cantidad Real Consumida"</t>
        </r>
      </text>
    </comment>
    <comment ref="E2390" authorId="2" shapeId="0">
      <text>
        <r>
          <rPr>
            <sz val="11"/>
            <color theme="1"/>
            <rFont val="Calibri"/>
            <family val="2"/>
            <scheme val="minor"/>
          </rPr>
          <t>Introduzca un número con dos decimales como máximo</t>
        </r>
      </text>
    </comment>
    <comment ref="F2390" authorId="2" shapeId="0">
      <text>
        <r>
          <rPr>
            <sz val="11"/>
            <color theme="1"/>
            <rFont val="Calibri"/>
            <family val="2"/>
            <scheme val="minor"/>
          </rPr>
          <t>Monto calculado automáticamente por el sistema</t>
        </r>
      </text>
    </comment>
    <comment ref="A2395" authorId="1" shapeId="0">
      <text>
        <r>
          <rPr>
            <sz val="11"/>
            <color theme="1"/>
            <rFont val="Calibri"/>
            <family val="2"/>
            <scheme val="minor"/>
          </rPr>
          <t>Introducir un texto con el nombre o referencia de la contratación</t>
        </r>
      </text>
    </comment>
    <comment ref="B2395" authorId="1" shapeId="0">
      <text>
        <r>
          <rPr>
            <sz val="11"/>
            <color theme="1"/>
            <rFont val="Calibri"/>
            <family val="2"/>
            <scheme val="minor"/>
          </rPr>
          <t>Introduzca un texto con la finalidad de la contratación</t>
        </r>
      </text>
    </comment>
    <comment ref="C2395" authorId="1" shapeId="0">
      <text>
        <r>
          <rPr>
            <sz val="11"/>
            <color theme="1"/>
            <rFont val="Calibri"/>
            <family val="2"/>
            <scheme val="minor"/>
          </rPr>
          <t>Seleccionar un valor del listado</t>
        </r>
      </text>
    </comment>
    <comment ref="D2395" authorId="1" shapeId="0">
      <text>
        <r>
          <rPr>
            <sz val="11"/>
            <color theme="1"/>
            <rFont val="Calibri"/>
            <family val="2"/>
            <scheme val="minor"/>
          </rPr>
          <t>Seleccione el tipo de procedimiento</t>
        </r>
      </text>
    </comment>
    <comment ref="E2395" authorId="1" shapeId="0">
      <text>
        <r>
          <rPr>
            <sz val="11"/>
            <color theme="1"/>
            <rFont val="Calibri"/>
            <family val="2"/>
            <scheme val="minor"/>
          </rPr>
          <t>Seleccione un valor de la lista</t>
        </r>
      </text>
    </comment>
    <comment ref="F2395" authorId="2" shapeId="0">
      <text>
        <r>
          <rPr>
            <sz val="11"/>
            <color theme="1"/>
            <rFont val="Calibri"/>
            <family val="2"/>
            <scheme val="minor"/>
          </rPr>
          <t>Introduzca el código SNIP</t>
        </r>
      </text>
    </comment>
    <comment ref="C2396" authorId="2" shapeId="0">
      <text>
        <r>
          <rPr>
            <sz val="11"/>
            <color theme="1"/>
            <rFont val="Calibri"/>
            <family val="2"/>
            <scheme val="minor"/>
          </rPr>
          <t>Introduzca la fecha de inicio del proceso, en formato dd-mm-aaaa</t>
        </r>
      </text>
    </comment>
    <comment ref="F23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7" authorId="2" shapeId="0">
      <text/>
    </comment>
    <comment ref="C2398" authorId="2" shapeId="0">
      <text>
        <r>
          <rPr>
            <sz val="11"/>
            <color theme="1"/>
            <rFont val="Calibri"/>
            <family val="2"/>
            <scheme val="minor"/>
          </rPr>
          <t>Introduzca la fecha prevista de adjudicación, en formato dd-mm-aaaa</t>
        </r>
      </text>
    </comment>
    <comment ref="F2398" authorId="2" shapeId="0">
      <text/>
    </comment>
    <comment ref="F2399" authorId="2" shapeId="0">
      <text/>
    </comment>
    <comment ref="A2401" authorId="2" shapeId="0">
      <text>
        <r>
          <rPr>
            <sz val="11"/>
            <color theme="1"/>
            <rFont val="Calibri"/>
            <family val="2"/>
            <scheme val="minor"/>
          </rPr>
          <t>Introduzca un codigo UNSPSC</t>
        </r>
      </text>
    </comment>
    <comment ref="B2401" authorId="2" shapeId="0">
      <text>
        <r>
          <rPr>
            <sz val="11"/>
            <color theme="1"/>
            <rFont val="Calibri"/>
            <family val="2"/>
            <scheme val="minor"/>
          </rPr>
          <t>Descripción calculada automáticamente a partir de código del artículo</t>
        </r>
      </text>
    </comment>
    <comment ref="C2401" authorId="2" shapeId="0">
      <text>
        <r>
          <rPr>
            <sz val="11"/>
            <color theme="1"/>
            <rFont val="Calibri"/>
            <family val="2"/>
            <scheme val="minor"/>
          </rPr>
          <t>Seleccione un valor de la lista</t>
        </r>
      </text>
    </comment>
    <comment ref="D2401" authorId="2" shapeId="0">
      <text>
        <r>
          <rPr>
            <sz val="11"/>
            <color theme="1"/>
            <rFont val="Calibri"/>
            <family val="2"/>
            <scheme val="minor"/>
          </rPr>
          <t>Introduzca un número con dos decimales como máximo. Debe ser igual o mayor a la "Cantidad Real Consumida"</t>
        </r>
      </text>
    </comment>
    <comment ref="E2401" authorId="2" shapeId="0">
      <text>
        <r>
          <rPr>
            <sz val="11"/>
            <color theme="1"/>
            <rFont val="Calibri"/>
            <family val="2"/>
            <scheme val="minor"/>
          </rPr>
          <t>Introduzca un número con dos decimales como máximo</t>
        </r>
      </text>
    </comment>
    <comment ref="F2401" authorId="2" shapeId="0">
      <text>
        <r>
          <rPr>
            <sz val="11"/>
            <color theme="1"/>
            <rFont val="Calibri"/>
            <family val="2"/>
            <scheme val="minor"/>
          </rPr>
          <t>Monto calculado automáticamente por el sistema</t>
        </r>
      </text>
    </comment>
    <comment ref="A2406" authorId="2" shapeId="0">
      <text>
        <r>
          <rPr>
            <sz val="11"/>
            <color theme="1"/>
            <rFont val="Calibri"/>
            <family val="2"/>
            <scheme val="minor"/>
          </rPr>
          <t>Introducir un texto con el nombre o referencia de la contratación</t>
        </r>
      </text>
    </comment>
    <comment ref="B2406" authorId="2" shapeId="0">
      <text>
        <r>
          <rPr>
            <sz val="11"/>
            <color theme="1"/>
            <rFont val="Calibri"/>
            <family val="2"/>
            <scheme val="minor"/>
          </rPr>
          <t>Introduzca un texto con la finalidad de la contratación</t>
        </r>
      </text>
    </comment>
    <comment ref="C2406" authorId="2" shapeId="0">
      <text>
        <r>
          <rPr>
            <sz val="11"/>
            <color theme="1"/>
            <rFont val="Calibri"/>
            <family val="2"/>
            <scheme val="minor"/>
          </rPr>
          <t>Seleccionar un valor del listado</t>
        </r>
      </text>
    </comment>
    <comment ref="D2406" authorId="2" shapeId="0">
      <text>
        <r>
          <rPr>
            <sz val="11"/>
            <color theme="1"/>
            <rFont val="Calibri"/>
            <family val="2"/>
            <scheme val="minor"/>
          </rPr>
          <t>Seleccione el tipo de procedimiento</t>
        </r>
      </text>
    </comment>
    <comment ref="E2406" authorId="2" shapeId="0">
      <text>
        <r>
          <rPr>
            <sz val="11"/>
            <color theme="1"/>
            <rFont val="Calibri"/>
            <family val="2"/>
            <scheme val="minor"/>
          </rPr>
          <t>Seleccione un valor de la lista</t>
        </r>
      </text>
    </comment>
    <comment ref="F2406" authorId="2" shapeId="0">
      <text>
        <r>
          <rPr>
            <sz val="11"/>
            <color theme="1"/>
            <rFont val="Calibri"/>
            <family val="2"/>
            <scheme val="minor"/>
          </rPr>
          <t>Introduzca el código SNIP</t>
        </r>
      </text>
    </comment>
    <comment ref="C2407" authorId="2" shapeId="0">
      <text>
        <r>
          <rPr>
            <sz val="11"/>
            <color theme="1"/>
            <rFont val="Calibri"/>
            <family val="2"/>
            <scheme val="minor"/>
          </rPr>
          <t>Introduzca la fecha de inicio del proceso, en formato dd-mm-aaaa</t>
        </r>
      </text>
    </comment>
    <comment ref="F24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8" authorId="2" shapeId="0">
      <text/>
    </comment>
    <comment ref="C2409" authorId="2" shapeId="0">
      <text>
        <r>
          <rPr>
            <sz val="11"/>
            <color theme="1"/>
            <rFont val="Calibri"/>
            <family val="2"/>
            <scheme val="minor"/>
          </rPr>
          <t>Introduzca la fecha prevista de adjudicación, en formato dd-mm-aaaa</t>
        </r>
      </text>
    </comment>
    <comment ref="F2409" authorId="2" shapeId="0">
      <text/>
    </comment>
    <comment ref="F2410" authorId="2" shapeId="0">
      <text/>
    </comment>
    <comment ref="A2412" authorId="2" shapeId="0">
      <text>
        <r>
          <rPr>
            <sz val="11"/>
            <color theme="1"/>
            <rFont val="Calibri"/>
            <family val="2"/>
            <scheme val="minor"/>
          </rPr>
          <t>Introduzca un codigo UNSPSC</t>
        </r>
      </text>
    </comment>
    <comment ref="B2412" authorId="2" shapeId="0">
      <text>
        <r>
          <rPr>
            <sz val="11"/>
            <color theme="1"/>
            <rFont val="Calibri"/>
            <family val="2"/>
            <scheme val="minor"/>
          </rPr>
          <t>Descripción calculada automáticamente a partir de código del artículo</t>
        </r>
      </text>
    </comment>
    <comment ref="C2412" authorId="2" shapeId="0">
      <text>
        <r>
          <rPr>
            <sz val="11"/>
            <color theme="1"/>
            <rFont val="Calibri"/>
            <family val="2"/>
            <scheme val="minor"/>
          </rPr>
          <t>Seleccione un valor de la lista</t>
        </r>
      </text>
    </comment>
    <comment ref="D2412" authorId="2" shapeId="0">
      <text>
        <r>
          <rPr>
            <sz val="11"/>
            <color theme="1"/>
            <rFont val="Calibri"/>
            <family val="2"/>
            <scheme val="minor"/>
          </rPr>
          <t>Introduzca un número con dos decimales como máximo. Debe ser igual o mayor a la "Cantidad Real Consumida"</t>
        </r>
      </text>
    </comment>
    <comment ref="E2412" authorId="2" shapeId="0">
      <text>
        <r>
          <rPr>
            <sz val="11"/>
            <color theme="1"/>
            <rFont val="Calibri"/>
            <family val="2"/>
            <scheme val="minor"/>
          </rPr>
          <t>Introduzca un número con dos decimales como máximo</t>
        </r>
      </text>
    </comment>
    <comment ref="F2412" authorId="2" shapeId="0">
      <text>
        <r>
          <rPr>
            <sz val="11"/>
            <color theme="1"/>
            <rFont val="Calibri"/>
            <family val="2"/>
            <scheme val="minor"/>
          </rPr>
          <t>Monto calculado automáticamente por el sistema</t>
        </r>
      </text>
    </comment>
    <comment ref="A2417" authorId="2" shapeId="0">
      <text>
        <r>
          <rPr>
            <sz val="11"/>
            <color theme="1"/>
            <rFont val="Calibri"/>
            <family val="2"/>
            <scheme val="minor"/>
          </rPr>
          <t>Introducir un texto con el nombre o referencia de la contratación</t>
        </r>
      </text>
    </comment>
    <comment ref="B2417" authorId="2" shapeId="0">
      <text>
        <r>
          <rPr>
            <sz val="11"/>
            <color theme="1"/>
            <rFont val="Calibri"/>
            <family val="2"/>
            <scheme val="minor"/>
          </rPr>
          <t>Introduzca un texto con la finalidad de la contratación</t>
        </r>
      </text>
    </comment>
    <comment ref="C2417" authorId="2" shapeId="0">
      <text>
        <r>
          <rPr>
            <sz val="11"/>
            <color theme="1"/>
            <rFont val="Calibri"/>
            <family val="2"/>
            <scheme val="minor"/>
          </rPr>
          <t>Seleccionar un valor del listado</t>
        </r>
      </text>
    </comment>
    <comment ref="D2417" authorId="2" shapeId="0">
      <text>
        <r>
          <rPr>
            <sz val="11"/>
            <color theme="1"/>
            <rFont val="Calibri"/>
            <family val="2"/>
            <scheme val="minor"/>
          </rPr>
          <t>Seleccione el tipo de procedimiento</t>
        </r>
      </text>
    </comment>
    <comment ref="E2417" authorId="2" shapeId="0">
      <text>
        <r>
          <rPr>
            <sz val="11"/>
            <color theme="1"/>
            <rFont val="Calibri"/>
            <family val="2"/>
            <scheme val="minor"/>
          </rPr>
          <t>Seleccione un valor de la lista</t>
        </r>
      </text>
    </comment>
    <comment ref="F2417" authorId="2" shapeId="0">
      <text>
        <r>
          <rPr>
            <sz val="11"/>
            <color theme="1"/>
            <rFont val="Calibri"/>
            <family val="2"/>
            <scheme val="minor"/>
          </rPr>
          <t>Introduzca el código SNIP</t>
        </r>
      </text>
    </comment>
    <comment ref="C2418" authorId="2" shapeId="0">
      <text>
        <r>
          <rPr>
            <sz val="11"/>
            <color theme="1"/>
            <rFont val="Calibri"/>
            <family val="2"/>
            <scheme val="minor"/>
          </rPr>
          <t>Introduzca la fecha de inicio del proceso, en formato dd-mm-aaaa</t>
        </r>
      </text>
    </comment>
    <comment ref="F24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9" authorId="2" shapeId="0">
      <text/>
    </comment>
    <comment ref="C2420" authorId="2" shapeId="0">
      <text>
        <r>
          <rPr>
            <sz val="11"/>
            <color theme="1"/>
            <rFont val="Calibri"/>
            <family val="2"/>
            <scheme val="minor"/>
          </rPr>
          <t>Introduzca la fecha prevista de adjudicación, en formato dd-mm-aaaa</t>
        </r>
      </text>
    </comment>
    <comment ref="F2420" authorId="2" shapeId="0">
      <text/>
    </comment>
    <comment ref="F2421" authorId="2" shapeId="0">
      <text/>
    </comment>
    <comment ref="A2423" authorId="2" shapeId="0">
      <text>
        <r>
          <rPr>
            <sz val="11"/>
            <color theme="1"/>
            <rFont val="Calibri"/>
            <family val="2"/>
            <scheme val="minor"/>
          </rPr>
          <t>Introduzca un codigo UNSPSC</t>
        </r>
      </text>
    </comment>
    <comment ref="B2423" authorId="2" shapeId="0">
      <text>
        <r>
          <rPr>
            <sz val="11"/>
            <color theme="1"/>
            <rFont val="Calibri"/>
            <family val="2"/>
            <scheme val="minor"/>
          </rPr>
          <t>Descripción calculada automáticamente a partir de código del artículo</t>
        </r>
      </text>
    </comment>
    <comment ref="C2423" authorId="2" shapeId="0">
      <text>
        <r>
          <rPr>
            <sz val="11"/>
            <color theme="1"/>
            <rFont val="Calibri"/>
            <family val="2"/>
            <scheme val="minor"/>
          </rPr>
          <t>Seleccione un valor de la lista</t>
        </r>
      </text>
    </comment>
    <comment ref="D2423" authorId="2" shapeId="0">
      <text>
        <r>
          <rPr>
            <sz val="11"/>
            <color theme="1"/>
            <rFont val="Calibri"/>
            <family val="2"/>
            <scheme val="minor"/>
          </rPr>
          <t>Introduzca un número con dos decimales como máximo. Debe ser igual o mayor a la "Cantidad Real Consumida"</t>
        </r>
      </text>
    </comment>
    <comment ref="E2423" authorId="2" shapeId="0">
      <text>
        <r>
          <rPr>
            <sz val="11"/>
            <color theme="1"/>
            <rFont val="Calibri"/>
            <family val="2"/>
            <scheme val="minor"/>
          </rPr>
          <t>Introduzca un número con dos decimales como máximo</t>
        </r>
      </text>
    </comment>
    <comment ref="F2423" authorId="2" shapeId="0">
      <text>
        <r>
          <rPr>
            <sz val="11"/>
            <color theme="1"/>
            <rFont val="Calibri"/>
            <family val="2"/>
            <scheme val="minor"/>
          </rPr>
          <t>Monto calculado automáticamente por el sistema</t>
        </r>
      </text>
    </comment>
    <comment ref="A2428" authorId="2" shapeId="0">
      <text>
        <r>
          <rPr>
            <sz val="11"/>
            <color theme="1"/>
            <rFont val="Calibri"/>
            <family val="2"/>
            <scheme val="minor"/>
          </rPr>
          <t>Introducir un texto con el nombre o referencia de la contratación</t>
        </r>
      </text>
    </comment>
    <comment ref="B2428" authorId="2" shapeId="0">
      <text>
        <r>
          <rPr>
            <sz val="11"/>
            <color theme="1"/>
            <rFont val="Calibri"/>
            <family val="2"/>
            <scheme val="minor"/>
          </rPr>
          <t>Introduzca un texto con la finalidad de la contratación</t>
        </r>
      </text>
    </comment>
    <comment ref="C2428" authorId="2" shapeId="0">
      <text>
        <r>
          <rPr>
            <sz val="11"/>
            <color theme="1"/>
            <rFont val="Calibri"/>
            <family val="2"/>
            <scheme val="minor"/>
          </rPr>
          <t>Seleccionar un valor del listado</t>
        </r>
      </text>
    </comment>
    <comment ref="D2428" authorId="2" shapeId="0">
      <text>
        <r>
          <rPr>
            <sz val="11"/>
            <color theme="1"/>
            <rFont val="Calibri"/>
            <family val="2"/>
            <scheme val="minor"/>
          </rPr>
          <t>Seleccione el tipo de procedimiento</t>
        </r>
      </text>
    </comment>
    <comment ref="E2428" authorId="2" shapeId="0">
      <text>
        <r>
          <rPr>
            <sz val="11"/>
            <color theme="1"/>
            <rFont val="Calibri"/>
            <family val="2"/>
            <scheme val="minor"/>
          </rPr>
          <t>Seleccione un valor de la lista</t>
        </r>
      </text>
    </comment>
    <comment ref="F2428" authorId="2" shapeId="0">
      <text>
        <r>
          <rPr>
            <sz val="11"/>
            <color theme="1"/>
            <rFont val="Calibri"/>
            <family val="2"/>
            <scheme val="minor"/>
          </rPr>
          <t>Introduzca el código SNIP</t>
        </r>
      </text>
    </comment>
    <comment ref="C2429" authorId="2" shapeId="0">
      <text>
        <r>
          <rPr>
            <sz val="11"/>
            <color theme="1"/>
            <rFont val="Calibri"/>
            <family val="2"/>
            <scheme val="minor"/>
          </rPr>
          <t>Introduzca la fecha de inicio del proceso, en formato dd-mm-aaaa</t>
        </r>
      </text>
    </comment>
    <comment ref="F24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0" authorId="2" shapeId="0">
      <text/>
    </comment>
    <comment ref="C2431" authorId="2" shapeId="0">
      <text>
        <r>
          <rPr>
            <sz val="11"/>
            <color theme="1"/>
            <rFont val="Calibri"/>
            <family val="2"/>
            <scheme val="minor"/>
          </rPr>
          <t>Introduzca la fecha prevista de adjudicación, en formato dd-mm-aaaa</t>
        </r>
      </text>
    </comment>
    <comment ref="F2431" authorId="2" shapeId="0">
      <text/>
    </comment>
    <comment ref="F2432" authorId="2" shapeId="0">
      <text/>
    </comment>
    <comment ref="A2434" authorId="2" shapeId="0">
      <text>
        <r>
          <rPr>
            <sz val="11"/>
            <color theme="1"/>
            <rFont val="Calibri"/>
            <family val="2"/>
            <scheme val="minor"/>
          </rPr>
          <t>Introduzca un codigo UNSPSC</t>
        </r>
      </text>
    </comment>
    <comment ref="B2434" authorId="2" shapeId="0">
      <text>
        <r>
          <rPr>
            <sz val="11"/>
            <color theme="1"/>
            <rFont val="Calibri"/>
            <family val="2"/>
            <scheme val="minor"/>
          </rPr>
          <t>Descripción calculada automáticamente a partir de código del artículo</t>
        </r>
      </text>
    </comment>
    <comment ref="C2434" authorId="2" shapeId="0">
      <text>
        <r>
          <rPr>
            <sz val="11"/>
            <color theme="1"/>
            <rFont val="Calibri"/>
            <family val="2"/>
            <scheme val="minor"/>
          </rPr>
          <t>Seleccione un valor de la lista</t>
        </r>
      </text>
    </comment>
    <comment ref="D2434" authorId="2" shapeId="0">
      <text>
        <r>
          <rPr>
            <sz val="11"/>
            <color theme="1"/>
            <rFont val="Calibri"/>
            <family val="2"/>
            <scheme val="minor"/>
          </rPr>
          <t>Introduzca un número con dos decimales como máximo. Debe ser igual o mayor a la "Cantidad Real Consumida"</t>
        </r>
      </text>
    </comment>
    <comment ref="E2434" authorId="2" shapeId="0">
      <text>
        <r>
          <rPr>
            <sz val="11"/>
            <color theme="1"/>
            <rFont val="Calibri"/>
            <family val="2"/>
            <scheme val="minor"/>
          </rPr>
          <t>Introduzca un número con dos decimales como máximo</t>
        </r>
      </text>
    </comment>
    <comment ref="F2434" authorId="2" shapeId="0">
      <text>
        <r>
          <rPr>
            <sz val="11"/>
            <color theme="1"/>
            <rFont val="Calibri"/>
            <family val="2"/>
            <scheme val="minor"/>
          </rPr>
          <t>Monto calculado automáticamente por el sistema</t>
        </r>
      </text>
    </comment>
    <comment ref="A2439" authorId="2" shapeId="0">
      <text>
        <r>
          <rPr>
            <sz val="11"/>
            <color theme="1"/>
            <rFont val="Calibri"/>
            <family val="2"/>
            <scheme val="minor"/>
          </rPr>
          <t>Introducir un texto con el nombre o referencia de la contratación</t>
        </r>
      </text>
    </comment>
    <comment ref="B2439" authorId="2" shapeId="0">
      <text>
        <r>
          <rPr>
            <sz val="11"/>
            <color theme="1"/>
            <rFont val="Calibri"/>
            <family val="2"/>
            <scheme val="minor"/>
          </rPr>
          <t>Introduzca un texto con la finalidad de la contratación</t>
        </r>
      </text>
    </comment>
    <comment ref="C2439" authorId="2" shapeId="0">
      <text>
        <r>
          <rPr>
            <sz val="11"/>
            <color theme="1"/>
            <rFont val="Calibri"/>
            <family val="2"/>
            <scheme val="minor"/>
          </rPr>
          <t>Seleccionar un valor del listado</t>
        </r>
      </text>
    </comment>
    <comment ref="D2439" authorId="2" shapeId="0">
      <text>
        <r>
          <rPr>
            <sz val="11"/>
            <color theme="1"/>
            <rFont val="Calibri"/>
            <family val="2"/>
            <scheme val="minor"/>
          </rPr>
          <t>Seleccione el tipo de procedimiento</t>
        </r>
      </text>
    </comment>
    <comment ref="E2439" authorId="2" shapeId="0">
      <text>
        <r>
          <rPr>
            <sz val="11"/>
            <color theme="1"/>
            <rFont val="Calibri"/>
            <family val="2"/>
            <scheme val="minor"/>
          </rPr>
          <t>Seleccione un valor de la lista</t>
        </r>
      </text>
    </comment>
    <comment ref="F2439" authorId="2" shapeId="0">
      <text>
        <r>
          <rPr>
            <sz val="11"/>
            <color theme="1"/>
            <rFont val="Calibri"/>
            <family val="2"/>
            <scheme val="minor"/>
          </rPr>
          <t>Introduzca el código SNIP</t>
        </r>
      </text>
    </comment>
    <comment ref="C2440" authorId="2" shapeId="0">
      <text>
        <r>
          <rPr>
            <sz val="11"/>
            <color theme="1"/>
            <rFont val="Calibri"/>
            <family val="2"/>
            <scheme val="minor"/>
          </rPr>
          <t>Introduzca la fecha de inicio del proceso, en formato dd-mm-aaaa</t>
        </r>
      </text>
    </comment>
    <comment ref="F24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1" authorId="2" shapeId="0">
      <text/>
    </comment>
    <comment ref="C2442" authorId="2" shapeId="0">
      <text>
        <r>
          <rPr>
            <sz val="11"/>
            <color theme="1"/>
            <rFont val="Calibri"/>
            <family val="2"/>
            <scheme val="minor"/>
          </rPr>
          <t>Introduzca la fecha prevista de adjudicación, en formato dd-mm-aaaa</t>
        </r>
      </text>
    </comment>
    <comment ref="F2442" authorId="2" shapeId="0">
      <text/>
    </comment>
    <comment ref="F2443" authorId="2" shapeId="0">
      <text/>
    </comment>
    <comment ref="A2445" authorId="2" shapeId="0">
      <text>
        <r>
          <rPr>
            <sz val="11"/>
            <color theme="1"/>
            <rFont val="Calibri"/>
            <family val="2"/>
            <scheme val="minor"/>
          </rPr>
          <t>Introduzca un codigo UNSPSC</t>
        </r>
      </text>
    </comment>
    <comment ref="B2445" authorId="2" shapeId="0">
      <text>
        <r>
          <rPr>
            <sz val="11"/>
            <color theme="1"/>
            <rFont val="Calibri"/>
            <family val="2"/>
            <scheme val="minor"/>
          </rPr>
          <t>Descripción calculada automáticamente a partir de código del artículo</t>
        </r>
      </text>
    </comment>
    <comment ref="C2445" authorId="2" shapeId="0">
      <text>
        <r>
          <rPr>
            <sz val="11"/>
            <color theme="1"/>
            <rFont val="Calibri"/>
            <family val="2"/>
            <scheme val="minor"/>
          </rPr>
          <t>Seleccione un valor de la lista</t>
        </r>
      </text>
    </comment>
    <comment ref="D2445" authorId="2" shapeId="0">
      <text>
        <r>
          <rPr>
            <sz val="11"/>
            <color theme="1"/>
            <rFont val="Calibri"/>
            <family val="2"/>
            <scheme val="minor"/>
          </rPr>
          <t>Introduzca un número con dos decimales como máximo. Debe ser igual o mayor a la "Cantidad Real Consumida"</t>
        </r>
      </text>
    </comment>
    <comment ref="E2445" authorId="2" shapeId="0">
      <text>
        <r>
          <rPr>
            <sz val="11"/>
            <color theme="1"/>
            <rFont val="Calibri"/>
            <family val="2"/>
            <scheme val="minor"/>
          </rPr>
          <t>Introduzca un número con dos decimales como máximo</t>
        </r>
      </text>
    </comment>
    <comment ref="F2445" authorId="2" shapeId="0">
      <text>
        <r>
          <rPr>
            <sz val="11"/>
            <color theme="1"/>
            <rFont val="Calibri"/>
            <family val="2"/>
            <scheme val="minor"/>
          </rPr>
          <t>Monto calculado automáticamente por el sistema</t>
        </r>
      </text>
    </comment>
    <comment ref="A2450" authorId="2" shapeId="0">
      <text>
        <r>
          <rPr>
            <sz val="11"/>
            <color theme="1"/>
            <rFont val="Calibri"/>
            <family val="2"/>
            <scheme val="minor"/>
          </rPr>
          <t>Introducir un texto con el nombre o referencia de la contratación</t>
        </r>
      </text>
    </comment>
    <comment ref="B2450" authorId="2" shapeId="0">
      <text>
        <r>
          <rPr>
            <sz val="11"/>
            <color theme="1"/>
            <rFont val="Calibri"/>
            <family val="2"/>
            <scheme val="minor"/>
          </rPr>
          <t>Introduzca un texto con la finalidad de la contratación</t>
        </r>
      </text>
    </comment>
    <comment ref="C2450" authorId="2" shapeId="0">
      <text>
        <r>
          <rPr>
            <sz val="11"/>
            <color theme="1"/>
            <rFont val="Calibri"/>
            <family val="2"/>
            <scheme val="minor"/>
          </rPr>
          <t>Seleccionar un valor del listado</t>
        </r>
      </text>
    </comment>
    <comment ref="D2450" authorId="2" shapeId="0">
      <text>
        <r>
          <rPr>
            <sz val="11"/>
            <color theme="1"/>
            <rFont val="Calibri"/>
            <family val="2"/>
            <scheme val="minor"/>
          </rPr>
          <t>Seleccione el tipo de procedimiento</t>
        </r>
      </text>
    </comment>
    <comment ref="E2450" authorId="2" shapeId="0">
      <text>
        <r>
          <rPr>
            <sz val="11"/>
            <color theme="1"/>
            <rFont val="Calibri"/>
            <family val="2"/>
            <scheme val="minor"/>
          </rPr>
          <t>Seleccione un valor de la lista</t>
        </r>
      </text>
    </comment>
    <comment ref="F2450" authorId="2" shapeId="0">
      <text>
        <r>
          <rPr>
            <sz val="11"/>
            <color theme="1"/>
            <rFont val="Calibri"/>
            <family val="2"/>
            <scheme val="minor"/>
          </rPr>
          <t>Introduzca el código SNIP</t>
        </r>
      </text>
    </comment>
    <comment ref="C2451" authorId="2" shapeId="0">
      <text>
        <r>
          <rPr>
            <sz val="11"/>
            <color theme="1"/>
            <rFont val="Calibri"/>
            <family val="2"/>
            <scheme val="minor"/>
          </rPr>
          <t>Introduzca la fecha de inicio del proceso, en formato dd-mm-aaaa</t>
        </r>
      </text>
    </comment>
    <comment ref="F24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2" authorId="2" shapeId="0">
      <text/>
    </comment>
    <comment ref="C2453" authorId="2" shapeId="0">
      <text>
        <r>
          <rPr>
            <sz val="11"/>
            <color theme="1"/>
            <rFont val="Calibri"/>
            <family val="2"/>
            <scheme val="minor"/>
          </rPr>
          <t>Introduzca la fecha prevista de adjudicación, en formato dd-mm-aaaa</t>
        </r>
      </text>
    </comment>
    <comment ref="F2453" authorId="2" shapeId="0">
      <text/>
    </comment>
    <comment ref="F2454" authorId="2" shapeId="0">
      <text/>
    </comment>
    <comment ref="A2456" authorId="2" shapeId="0">
      <text>
        <r>
          <rPr>
            <sz val="11"/>
            <color theme="1"/>
            <rFont val="Calibri"/>
            <family val="2"/>
            <scheme val="minor"/>
          </rPr>
          <t>Introduzca un codigo UNSPSC</t>
        </r>
      </text>
    </comment>
    <comment ref="B2456" authorId="2" shapeId="0">
      <text>
        <r>
          <rPr>
            <sz val="11"/>
            <color theme="1"/>
            <rFont val="Calibri"/>
            <family val="2"/>
            <scheme val="minor"/>
          </rPr>
          <t>Descripción calculada automáticamente a partir de código del artículo</t>
        </r>
      </text>
    </comment>
    <comment ref="C2456" authorId="2" shapeId="0">
      <text>
        <r>
          <rPr>
            <sz val="11"/>
            <color theme="1"/>
            <rFont val="Calibri"/>
            <family val="2"/>
            <scheme val="minor"/>
          </rPr>
          <t>Seleccione un valor de la lista</t>
        </r>
      </text>
    </comment>
    <comment ref="D2456" authorId="2" shapeId="0">
      <text>
        <r>
          <rPr>
            <sz val="11"/>
            <color theme="1"/>
            <rFont val="Calibri"/>
            <family val="2"/>
            <scheme val="minor"/>
          </rPr>
          <t>Introduzca un número con dos decimales como máximo. Debe ser igual o mayor a la "Cantidad Real Consumida"</t>
        </r>
      </text>
    </comment>
    <comment ref="E2456" authorId="2" shapeId="0">
      <text>
        <r>
          <rPr>
            <sz val="11"/>
            <color theme="1"/>
            <rFont val="Calibri"/>
            <family val="2"/>
            <scheme val="minor"/>
          </rPr>
          <t>Introduzca un número con dos decimales como máximo</t>
        </r>
      </text>
    </comment>
    <comment ref="F2456" authorId="2" shapeId="0">
      <text>
        <r>
          <rPr>
            <sz val="11"/>
            <color theme="1"/>
            <rFont val="Calibri"/>
            <family val="2"/>
            <scheme val="minor"/>
          </rPr>
          <t>Monto calculado automáticamente por el sistema</t>
        </r>
      </text>
    </comment>
    <comment ref="A2461" authorId="2" shapeId="0">
      <text>
        <r>
          <rPr>
            <sz val="11"/>
            <color theme="1"/>
            <rFont val="Calibri"/>
            <family val="2"/>
            <scheme val="minor"/>
          </rPr>
          <t>Introducir un texto con el nombre o referencia de la contratación</t>
        </r>
      </text>
    </comment>
    <comment ref="B2461" authorId="2" shapeId="0">
      <text>
        <r>
          <rPr>
            <sz val="11"/>
            <color theme="1"/>
            <rFont val="Calibri"/>
            <family val="2"/>
            <scheme val="minor"/>
          </rPr>
          <t>Introduzca un texto con la finalidad de la contratación</t>
        </r>
      </text>
    </comment>
    <comment ref="C2461" authorId="2" shapeId="0">
      <text>
        <r>
          <rPr>
            <sz val="11"/>
            <color theme="1"/>
            <rFont val="Calibri"/>
            <family val="2"/>
            <scheme val="minor"/>
          </rPr>
          <t>Seleccionar un valor del listado</t>
        </r>
      </text>
    </comment>
    <comment ref="D2461" authorId="2" shapeId="0">
      <text>
        <r>
          <rPr>
            <sz val="11"/>
            <color theme="1"/>
            <rFont val="Calibri"/>
            <family val="2"/>
            <scheme val="minor"/>
          </rPr>
          <t>Seleccione el tipo de procedimiento</t>
        </r>
      </text>
    </comment>
    <comment ref="E2461" authorId="2" shapeId="0">
      <text>
        <r>
          <rPr>
            <sz val="11"/>
            <color theme="1"/>
            <rFont val="Calibri"/>
            <family val="2"/>
            <scheme val="minor"/>
          </rPr>
          <t>Seleccione un valor de la lista</t>
        </r>
      </text>
    </comment>
    <comment ref="F2461" authorId="2" shapeId="0">
      <text>
        <r>
          <rPr>
            <sz val="11"/>
            <color theme="1"/>
            <rFont val="Calibri"/>
            <family val="2"/>
            <scheme val="minor"/>
          </rPr>
          <t>Introduzca el código SNIP</t>
        </r>
      </text>
    </comment>
    <comment ref="C2462" authorId="2" shapeId="0">
      <text>
        <r>
          <rPr>
            <sz val="11"/>
            <color theme="1"/>
            <rFont val="Calibri"/>
            <family val="2"/>
            <scheme val="minor"/>
          </rPr>
          <t>Introduzca la fecha de inicio del proceso, en formato dd-mm-aaaa</t>
        </r>
      </text>
    </comment>
    <comment ref="F24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3" authorId="2" shapeId="0">
      <text/>
    </comment>
    <comment ref="C2464" authorId="2" shapeId="0">
      <text>
        <r>
          <rPr>
            <sz val="11"/>
            <color theme="1"/>
            <rFont val="Calibri"/>
            <family val="2"/>
            <scheme val="minor"/>
          </rPr>
          <t>Introduzca la fecha prevista de adjudicación, en formato dd-mm-aaaa</t>
        </r>
      </text>
    </comment>
    <comment ref="F2464" authorId="2" shapeId="0">
      <text/>
    </comment>
    <comment ref="F2465" authorId="2" shapeId="0">
      <text/>
    </comment>
    <comment ref="A2467" authorId="2" shapeId="0">
      <text>
        <r>
          <rPr>
            <sz val="11"/>
            <color theme="1"/>
            <rFont val="Calibri"/>
            <family val="2"/>
            <scheme val="minor"/>
          </rPr>
          <t>Introduzca un codigo UNSPSC</t>
        </r>
      </text>
    </comment>
    <comment ref="B2467" authorId="2" shapeId="0">
      <text>
        <r>
          <rPr>
            <sz val="11"/>
            <color theme="1"/>
            <rFont val="Calibri"/>
            <family val="2"/>
            <scheme val="minor"/>
          </rPr>
          <t>Descripción calculada automáticamente a partir de código del artículo</t>
        </r>
      </text>
    </comment>
    <comment ref="C2467" authorId="2" shapeId="0">
      <text>
        <r>
          <rPr>
            <sz val="11"/>
            <color theme="1"/>
            <rFont val="Calibri"/>
            <family val="2"/>
            <scheme val="minor"/>
          </rPr>
          <t>Seleccione un valor de la lista</t>
        </r>
      </text>
    </comment>
    <comment ref="D2467" authorId="2" shapeId="0">
      <text>
        <r>
          <rPr>
            <sz val="11"/>
            <color theme="1"/>
            <rFont val="Calibri"/>
            <family val="2"/>
            <scheme val="minor"/>
          </rPr>
          <t>Introduzca un número con dos decimales como máximo. Debe ser igual o mayor a la "Cantidad Real Consumida"</t>
        </r>
      </text>
    </comment>
    <comment ref="E2467" authorId="2" shapeId="0">
      <text>
        <r>
          <rPr>
            <sz val="11"/>
            <color theme="1"/>
            <rFont val="Calibri"/>
            <family val="2"/>
            <scheme val="minor"/>
          </rPr>
          <t>Introduzca un número con dos decimales como máximo</t>
        </r>
      </text>
    </comment>
    <comment ref="F2467" authorId="2" shapeId="0">
      <text>
        <r>
          <rPr>
            <sz val="11"/>
            <color theme="1"/>
            <rFont val="Calibri"/>
            <family val="2"/>
            <scheme val="minor"/>
          </rPr>
          <t>Monto calculado automáticamente por el sistema</t>
        </r>
      </text>
    </comment>
    <comment ref="A2472" authorId="2" shapeId="0">
      <text>
        <r>
          <rPr>
            <sz val="11"/>
            <color theme="1"/>
            <rFont val="Calibri"/>
            <family val="2"/>
            <scheme val="minor"/>
          </rPr>
          <t>Introducir un texto con el nombre o referencia de la contratación</t>
        </r>
      </text>
    </comment>
    <comment ref="B2472" authorId="2" shapeId="0">
      <text>
        <r>
          <rPr>
            <sz val="11"/>
            <color theme="1"/>
            <rFont val="Calibri"/>
            <family val="2"/>
            <scheme val="minor"/>
          </rPr>
          <t>Introduzca un texto con la finalidad de la contratación</t>
        </r>
      </text>
    </comment>
    <comment ref="C2472" authorId="2" shapeId="0">
      <text>
        <r>
          <rPr>
            <sz val="11"/>
            <color theme="1"/>
            <rFont val="Calibri"/>
            <family val="2"/>
            <scheme val="minor"/>
          </rPr>
          <t>Seleccionar un valor del listado</t>
        </r>
      </text>
    </comment>
    <comment ref="D2472" authorId="2" shapeId="0">
      <text>
        <r>
          <rPr>
            <sz val="11"/>
            <color theme="1"/>
            <rFont val="Calibri"/>
            <family val="2"/>
            <scheme val="minor"/>
          </rPr>
          <t>Seleccione el tipo de procedimiento</t>
        </r>
      </text>
    </comment>
    <comment ref="E2472" authorId="2" shapeId="0">
      <text>
        <r>
          <rPr>
            <sz val="11"/>
            <color theme="1"/>
            <rFont val="Calibri"/>
            <family val="2"/>
            <scheme val="minor"/>
          </rPr>
          <t>Seleccione un valor de la lista</t>
        </r>
      </text>
    </comment>
    <comment ref="F2472" authorId="2" shapeId="0">
      <text>
        <r>
          <rPr>
            <sz val="11"/>
            <color theme="1"/>
            <rFont val="Calibri"/>
            <family val="2"/>
            <scheme val="minor"/>
          </rPr>
          <t>Introduzca el código SNIP</t>
        </r>
      </text>
    </comment>
    <comment ref="C2473" authorId="2" shapeId="0">
      <text>
        <r>
          <rPr>
            <sz val="11"/>
            <color theme="1"/>
            <rFont val="Calibri"/>
            <family val="2"/>
            <scheme val="minor"/>
          </rPr>
          <t>Introduzca la fecha de inicio del proceso, en formato dd-mm-aaaa</t>
        </r>
      </text>
    </comment>
    <comment ref="F24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4" authorId="2" shapeId="0">
      <text/>
    </comment>
    <comment ref="C2475" authorId="2" shapeId="0">
      <text>
        <r>
          <rPr>
            <sz val="11"/>
            <color theme="1"/>
            <rFont val="Calibri"/>
            <family val="2"/>
            <scheme val="minor"/>
          </rPr>
          <t>Introduzca la fecha prevista de adjudicación, en formato dd-mm-aaaa</t>
        </r>
      </text>
    </comment>
    <comment ref="F2475" authorId="2" shapeId="0">
      <text/>
    </comment>
    <comment ref="F2476" authorId="2" shapeId="0">
      <text/>
    </comment>
    <comment ref="A2478" authorId="2" shapeId="0">
      <text>
        <r>
          <rPr>
            <sz val="11"/>
            <color theme="1"/>
            <rFont val="Calibri"/>
            <family val="2"/>
            <scheme val="minor"/>
          </rPr>
          <t>Introduzca un codigo UNSPSC</t>
        </r>
      </text>
    </comment>
    <comment ref="B2478" authorId="2" shapeId="0">
      <text>
        <r>
          <rPr>
            <sz val="11"/>
            <color theme="1"/>
            <rFont val="Calibri"/>
            <family val="2"/>
            <scheme val="minor"/>
          </rPr>
          <t>Descripción calculada automáticamente a partir de código del artículo</t>
        </r>
      </text>
    </comment>
    <comment ref="C2478" authorId="2" shapeId="0">
      <text>
        <r>
          <rPr>
            <sz val="11"/>
            <color theme="1"/>
            <rFont val="Calibri"/>
            <family val="2"/>
            <scheme val="minor"/>
          </rPr>
          <t>Seleccione un valor de la lista</t>
        </r>
      </text>
    </comment>
    <comment ref="D2478" authorId="2" shapeId="0">
      <text>
        <r>
          <rPr>
            <sz val="11"/>
            <color theme="1"/>
            <rFont val="Calibri"/>
            <family val="2"/>
            <scheme val="minor"/>
          </rPr>
          <t>Introduzca un número con dos decimales como máximo. Debe ser igual o mayor a la "Cantidad Real Consumida"</t>
        </r>
      </text>
    </comment>
    <comment ref="E2478" authorId="2" shapeId="0">
      <text>
        <r>
          <rPr>
            <sz val="11"/>
            <color theme="1"/>
            <rFont val="Calibri"/>
            <family val="2"/>
            <scheme val="minor"/>
          </rPr>
          <t>Introduzca un número con dos decimales como máximo</t>
        </r>
      </text>
    </comment>
    <comment ref="F2478" authorId="2" shapeId="0">
      <text>
        <r>
          <rPr>
            <sz val="11"/>
            <color theme="1"/>
            <rFont val="Calibri"/>
            <family val="2"/>
            <scheme val="minor"/>
          </rPr>
          <t>Monto calculado automáticamente por el sistema</t>
        </r>
      </text>
    </comment>
    <comment ref="A2483" authorId="2" shapeId="0">
      <text>
        <r>
          <rPr>
            <sz val="11"/>
            <color theme="1"/>
            <rFont val="Calibri"/>
            <family val="2"/>
            <scheme val="minor"/>
          </rPr>
          <t>Introducir un texto con el nombre o referencia de la contratación</t>
        </r>
      </text>
    </comment>
    <comment ref="B2483" authorId="2" shapeId="0">
      <text>
        <r>
          <rPr>
            <sz val="11"/>
            <color theme="1"/>
            <rFont val="Calibri"/>
            <family val="2"/>
            <scheme val="minor"/>
          </rPr>
          <t>Introduzca un texto con la finalidad de la contratación</t>
        </r>
      </text>
    </comment>
    <comment ref="C2483" authorId="2" shapeId="0">
      <text>
        <r>
          <rPr>
            <sz val="11"/>
            <color theme="1"/>
            <rFont val="Calibri"/>
            <family val="2"/>
            <scheme val="minor"/>
          </rPr>
          <t>Seleccionar un valor del listado</t>
        </r>
      </text>
    </comment>
    <comment ref="D2483" authorId="2" shapeId="0">
      <text>
        <r>
          <rPr>
            <sz val="11"/>
            <color theme="1"/>
            <rFont val="Calibri"/>
            <family val="2"/>
            <scheme val="minor"/>
          </rPr>
          <t>Seleccione el tipo de procedimiento</t>
        </r>
      </text>
    </comment>
    <comment ref="E2483" authorId="2" shapeId="0">
      <text>
        <r>
          <rPr>
            <sz val="11"/>
            <color theme="1"/>
            <rFont val="Calibri"/>
            <family val="2"/>
            <scheme val="minor"/>
          </rPr>
          <t>Seleccione un valor de la lista</t>
        </r>
      </text>
    </comment>
    <comment ref="F2483" authorId="2" shapeId="0">
      <text>
        <r>
          <rPr>
            <sz val="11"/>
            <color theme="1"/>
            <rFont val="Calibri"/>
            <family val="2"/>
            <scheme val="minor"/>
          </rPr>
          <t>Introduzca el código SNIP</t>
        </r>
      </text>
    </comment>
    <comment ref="C2484" authorId="2" shapeId="0">
      <text>
        <r>
          <rPr>
            <sz val="11"/>
            <color theme="1"/>
            <rFont val="Calibri"/>
            <family val="2"/>
            <scheme val="minor"/>
          </rPr>
          <t>Introduzca la fecha de inicio del proceso, en formato dd-mm-aaaa</t>
        </r>
      </text>
    </comment>
    <comment ref="F24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5" authorId="2" shapeId="0">
      <text/>
    </comment>
    <comment ref="C2486" authorId="2" shapeId="0">
      <text>
        <r>
          <rPr>
            <sz val="11"/>
            <color theme="1"/>
            <rFont val="Calibri"/>
            <family val="2"/>
            <scheme val="minor"/>
          </rPr>
          <t>Introduzca la fecha prevista de adjudicación, en formato dd-mm-aaaa</t>
        </r>
      </text>
    </comment>
    <comment ref="F2486" authorId="2" shapeId="0">
      <text/>
    </comment>
    <comment ref="F2487" authorId="2" shapeId="0">
      <text/>
    </comment>
    <comment ref="A2489" authorId="2" shapeId="0">
      <text>
        <r>
          <rPr>
            <sz val="11"/>
            <color theme="1"/>
            <rFont val="Calibri"/>
            <family val="2"/>
            <scheme val="minor"/>
          </rPr>
          <t>Introduzca un codigo UNSPSC</t>
        </r>
      </text>
    </comment>
    <comment ref="B2489" authorId="2" shapeId="0">
      <text>
        <r>
          <rPr>
            <sz val="11"/>
            <color theme="1"/>
            <rFont val="Calibri"/>
            <family val="2"/>
            <scheme val="minor"/>
          </rPr>
          <t>Descripción calculada automáticamente a partir de código del artículo</t>
        </r>
      </text>
    </comment>
    <comment ref="C2489" authorId="2" shapeId="0">
      <text>
        <r>
          <rPr>
            <sz val="11"/>
            <color theme="1"/>
            <rFont val="Calibri"/>
            <family val="2"/>
            <scheme val="minor"/>
          </rPr>
          <t>Seleccione un valor de la lista</t>
        </r>
      </text>
    </comment>
    <comment ref="D2489" authorId="2" shapeId="0">
      <text>
        <r>
          <rPr>
            <sz val="11"/>
            <color theme="1"/>
            <rFont val="Calibri"/>
            <family val="2"/>
            <scheme val="minor"/>
          </rPr>
          <t>Introduzca un número con dos decimales como máximo. Debe ser igual o mayor a la "Cantidad Real Consumida"</t>
        </r>
      </text>
    </comment>
    <comment ref="E2489" authorId="2" shapeId="0">
      <text>
        <r>
          <rPr>
            <sz val="11"/>
            <color theme="1"/>
            <rFont val="Calibri"/>
            <family val="2"/>
            <scheme val="minor"/>
          </rPr>
          <t>Introduzca un número con dos decimales como máximo</t>
        </r>
      </text>
    </comment>
    <comment ref="F2489" authorId="2" shapeId="0">
      <text>
        <r>
          <rPr>
            <sz val="11"/>
            <color theme="1"/>
            <rFont val="Calibri"/>
            <family val="2"/>
            <scheme val="minor"/>
          </rPr>
          <t>Monto calculado automáticamente por el sistema</t>
        </r>
      </text>
    </comment>
    <comment ref="A2494" authorId="2" shapeId="0">
      <text>
        <r>
          <rPr>
            <sz val="11"/>
            <color theme="1"/>
            <rFont val="Calibri"/>
            <family val="2"/>
            <scheme val="minor"/>
          </rPr>
          <t>Introducir un texto con el nombre o referencia de la contratación</t>
        </r>
      </text>
    </comment>
    <comment ref="B2494" authorId="2" shapeId="0">
      <text>
        <r>
          <rPr>
            <sz val="11"/>
            <color theme="1"/>
            <rFont val="Calibri"/>
            <family val="2"/>
            <scheme val="minor"/>
          </rPr>
          <t>Introduzca un texto con la finalidad de la contratación</t>
        </r>
      </text>
    </comment>
    <comment ref="C2494" authorId="2" shapeId="0">
      <text>
        <r>
          <rPr>
            <sz val="11"/>
            <color theme="1"/>
            <rFont val="Calibri"/>
            <family val="2"/>
            <scheme val="minor"/>
          </rPr>
          <t>Seleccionar un valor del listado</t>
        </r>
      </text>
    </comment>
    <comment ref="D2494" authorId="2" shapeId="0">
      <text>
        <r>
          <rPr>
            <sz val="11"/>
            <color theme="1"/>
            <rFont val="Calibri"/>
            <family val="2"/>
            <scheme val="minor"/>
          </rPr>
          <t>Seleccione el tipo de procedimiento</t>
        </r>
      </text>
    </comment>
    <comment ref="E2494" authorId="2" shapeId="0">
      <text>
        <r>
          <rPr>
            <sz val="11"/>
            <color theme="1"/>
            <rFont val="Calibri"/>
            <family val="2"/>
            <scheme val="minor"/>
          </rPr>
          <t>Seleccione un valor de la lista</t>
        </r>
      </text>
    </comment>
    <comment ref="F2494" authorId="2" shapeId="0">
      <text>
        <r>
          <rPr>
            <sz val="11"/>
            <color theme="1"/>
            <rFont val="Calibri"/>
            <family val="2"/>
            <scheme val="minor"/>
          </rPr>
          <t>Introduzca el código SNIP</t>
        </r>
      </text>
    </comment>
    <comment ref="C2495" authorId="2" shapeId="0">
      <text>
        <r>
          <rPr>
            <sz val="11"/>
            <color theme="1"/>
            <rFont val="Calibri"/>
            <family val="2"/>
            <scheme val="minor"/>
          </rPr>
          <t>Introduzca la fecha de inicio del proceso, en formato dd-mm-aaaa</t>
        </r>
      </text>
    </comment>
    <comment ref="F24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6" authorId="2" shapeId="0">
      <text/>
    </comment>
    <comment ref="C2497" authorId="2" shapeId="0">
      <text>
        <r>
          <rPr>
            <sz val="11"/>
            <color theme="1"/>
            <rFont val="Calibri"/>
            <family val="2"/>
            <scheme val="minor"/>
          </rPr>
          <t>Introduzca la fecha prevista de adjudicación, en formato dd-mm-aaaa</t>
        </r>
      </text>
    </comment>
    <comment ref="F2497" authorId="2" shapeId="0">
      <text/>
    </comment>
    <comment ref="F2498" authorId="2" shapeId="0">
      <text/>
    </comment>
    <comment ref="A2500" authorId="2" shapeId="0">
      <text>
        <r>
          <rPr>
            <sz val="11"/>
            <color theme="1"/>
            <rFont val="Calibri"/>
            <family val="2"/>
            <scheme val="minor"/>
          </rPr>
          <t>Introduzca un codigo UNSPSC</t>
        </r>
      </text>
    </comment>
    <comment ref="B2500" authorId="2" shapeId="0">
      <text>
        <r>
          <rPr>
            <sz val="11"/>
            <color theme="1"/>
            <rFont val="Calibri"/>
            <family val="2"/>
            <scheme val="minor"/>
          </rPr>
          <t>Descripción calculada automáticamente a partir de código del artículo</t>
        </r>
      </text>
    </comment>
    <comment ref="C2500" authorId="2" shapeId="0">
      <text>
        <r>
          <rPr>
            <sz val="11"/>
            <color theme="1"/>
            <rFont val="Calibri"/>
            <family val="2"/>
            <scheme val="minor"/>
          </rPr>
          <t>Seleccione un valor de la lista</t>
        </r>
      </text>
    </comment>
    <comment ref="D2500" authorId="2" shapeId="0">
      <text>
        <r>
          <rPr>
            <sz val="11"/>
            <color theme="1"/>
            <rFont val="Calibri"/>
            <family val="2"/>
            <scheme val="minor"/>
          </rPr>
          <t>Introduzca un número con dos decimales como máximo. Debe ser igual o mayor a la "Cantidad Real Consumida"</t>
        </r>
      </text>
    </comment>
    <comment ref="E2500" authorId="2" shapeId="0">
      <text>
        <r>
          <rPr>
            <sz val="11"/>
            <color theme="1"/>
            <rFont val="Calibri"/>
            <family val="2"/>
            <scheme val="minor"/>
          </rPr>
          <t>Introduzca un número con dos decimales como máximo</t>
        </r>
      </text>
    </comment>
    <comment ref="F2500" authorId="2" shapeId="0">
      <text>
        <r>
          <rPr>
            <sz val="11"/>
            <color theme="1"/>
            <rFont val="Calibri"/>
            <family val="2"/>
            <scheme val="minor"/>
          </rPr>
          <t>Monto calculado automáticamente por el sistema</t>
        </r>
      </text>
    </comment>
    <comment ref="A2505" authorId="2" shapeId="0">
      <text>
        <r>
          <rPr>
            <sz val="11"/>
            <color theme="1"/>
            <rFont val="Calibri"/>
            <family val="2"/>
            <scheme val="minor"/>
          </rPr>
          <t>Introducir un texto con el nombre o referencia de la contratación</t>
        </r>
      </text>
    </comment>
    <comment ref="B2505" authorId="2" shapeId="0">
      <text>
        <r>
          <rPr>
            <sz val="11"/>
            <color theme="1"/>
            <rFont val="Calibri"/>
            <family val="2"/>
            <scheme val="minor"/>
          </rPr>
          <t>Introduzca un texto con la finalidad de la contratación</t>
        </r>
      </text>
    </comment>
    <comment ref="C2505" authorId="2" shapeId="0">
      <text>
        <r>
          <rPr>
            <sz val="11"/>
            <color theme="1"/>
            <rFont val="Calibri"/>
            <family val="2"/>
            <scheme val="minor"/>
          </rPr>
          <t>Seleccionar un valor del listado</t>
        </r>
      </text>
    </comment>
    <comment ref="D2505" authorId="2" shapeId="0">
      <text>
        <r>
          <rPr>
            <sz val="11"/>
            <color theme="1"/>
            <rFont val="Calibri"/>
            <family val="2"/>
            <scheme val="minor"/>
          </rPr>
          <t>Seleccione el tipo de procedimiento</t>
        </r>
      </text>
    </comment>
    <comment ref="E2505" authorId="2" shapeId="0">
      <text>
        <r>
          <rPr>
            <sz val="11"/>
            <color theme="1"/>
            <rFont val="Calibri"/>
            <family val="2"/>
            <scheme val="minor"/>
          </rPr>
          <t>Seleccione un valor de la lista</t>
        </r>
      </text>
    </comment>
    <comment ref="F2505" authorId="2" shapeId="0">
      <text>
        <r>
          <rPr>
            <sz val="11"/>
            <color theme="1"/>
            <rFont val="Calibri"/>
            <family val="2"/>
            <scheme val="minor"/>
          </rPr>
          <t>Introduzca el código SNIP</t>
        </r>
      </text>
    </comment>
    <comment ref="C2506" authorId="2" shapeId="0">
      <text>
        <r>
          <rPr>
            <sz val="11"/>
            <color theme="1"/>
            <rFont val="Calibri"/>
            <family val="2"/>
            <scheme val="minor"/>
          </rPr>
          <t>Introduzca la fecha de inicio del proceso, en formato dd-mm-aaaa</t>
        </r>
      </text>
    </comment>
    <comment ref="F25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7" authorId="2" shapeId="0">
      <text/>
    </comment>
    <comment ref="C2508" authorId="2" shapeId="0">
      <text>
        <r>
          <rPr>
            <sz val="11"/>
            <color theme="1"/>
            <rFont val="Calibri"/>
            <family val="2"/>
            <scheme val="minor"/>
          </rPr>
          <t>Introduzca la fecha prevista de adjudicación, en formato dd-mm-aaaa</t>
        </r>
      </text>
    </comment>
    <comment ref="F2508" authorId="2" shapeId="0">
      <text/>
    </comment>
    <comment ref="F2509" authorId="2" shapeId="0">
      <text/>
    </comment>
    <comment ref="A2511" authorId="2" shapeId="0">
      <text>
        <r>
          <rPr>
            <sz val="11"/>
            <color theme="1"/>
            <rFont val="Calibri"/>
            <family val="2"/>
            <scheme val="minor"/>
          </rPr>
          <t>Introduzca un codigo UNSPSC</t>
        </r>
      </text>
    </comment>
    <comment ref="B2511" authorId="2" shapeId="0">
      <text>
        <r>
          <rPr>
            <sz val="11"/>
            <color theme="1"/>
            <rFont val="Calibri"/>
            <family val="2"/>
            <scheme val="minor"/>
          </rPr>
          <t>Descripción calculada automáticamente a partir de código del artículo</t>
        </r>
      </text>
    </comment>
    <comment ref="C2511" authorId="2" shapeId="0">
      <text>
        <r>
          <rPr>
            <sz val="11"/>
            <color theme="1"/>
            <rFont val="Calibri"/>
            <family val="2"/>
            <scheme val="minor"/>
          </rPr>
          <t>Seleccione un valor de la lista</t>
        </r>
      </text>
    </comment>
    <comment ref="D2511" authorId="2" shapeId="0">
      <text>
        <r>
          <rPr>
            <sz val="11"/>
            <color theme="1"/>
            <rFont val="Calibri"/>
            <family val="2"/>
            <scheme val="minor"/>
          </rPr>
          <t>Introduzca un número con dos decimales como máximo. Debe ser igual o mayor a la "Cantidad Real Consumida"</t>
        </r>
      </text>
    </comment>
    <comment ref="E2511" authorId="2" shapeId="0">
      <text>
        <r>
          <rPr>
            <sz val="11"/>
            <color theme="1"/>
            <rFont val="Calibri"/>
            <family val="2"/>
            <scheme val="minor"/>
          </rPr>
          <t>Introduzca un número con dos decimales como máximo</t>
        </r>
      </text>
    </comment>
    <comment ref="F2511" authorId="2" shapeId="0">
      <text>
        <r>
          <rPr>
            <sz val="11"/>
            <color theme="1"/>
            <rFont val="Calibri"/>
            <family val="2"/>
            <scheme val="minor"/>
          </rPr>
          <t>Monto calculado automáticamente por el sistema</t>
        </r>
      </text>
    </comment>
    <comment ref="A2516" authorId="2" shapeId="0">
      <text>
        <r>
          <rPr>
            <sz val="11"/>
            <color theme="1"/>
            <rFont val="Calibri"/>
            <family val="2"/>
            <scheme val="minor"/>
          </rPr>
          <t>Introducir un texto con el nombre o referencia de la contratación</t>
        </r>
      </text>
    </comment>
    <comment ref="B2516" authorId="2" shapeId="0">
      <text>
        <r>
          <rPr>
            <sz val="11"/>
            <color theme="1"/>
            <rFont val="Calibri"/>
            <family val="2"/>
            <scheme val="minor"/>
          </rPr>
          <t>Introduzca un texto con la finalidad de la contratación</t>
        </r>
      </text>
    </comment>
    <comment ref="C2516" authorId="2" shapeId="0">
      <text>
        <r>
          <rPr>
            <sz val="11"/>
            <color theme="1"/>
            <rFont val="Calibri"/>
            <family val="2"/>
            <scheme val="minor"/>
          </rPr>
          <t>Seleccionar un valor del listado</t>
        </r>
      </text>
    </comment>
    <comment ref="D2516" authorId="2" shapeId="0">
      <text>
        <r>
          <rPr>
            <sz val="11"/>
            <color theme="1"/>
            <rFont val="Calibri"/>
            <family val="2"/>
            <scheme val="minor"/>
          </rPr>
          <t>Seleccione el tipo de procedimiento</t>
        </r>
      </text>
    </comment>
    <comment ref="E2516" authorId="2" shapeId="0">
      <text>
        <r>
          <rPr>
            <sz val="11"/>
            <color theme="1"/>
            <rFont val="Calibri"/>
            <family val="2"/>
            <scheme val="minor"/>
          </rPr>
          <t>Seleccione un valor de la lista</t>
        </r>
      </text>
    </comment>
    <comment ref="F2516" authorId="2" shapeId="0">
      <text>
        <r>
          <rPr>
            <sz val="11"/>
            <color theme="1"/>
            <rFont val="Calibri"/>
            <family val="2"/>
            <scheme val="minor"/>
          </rPr>
          <t>Introduzca el código SNIP</t>
        </r>
      </text>
    </comment>
    <comment ref="C2517" authorId="2" shapeId="0">
      <text>
        <r>
          <rPr>
            <sz val="11"/>
            <color theme="1"/>
            <rFont val="Calibri"/>
            <family val="2"/>
            <scheme val="minor"/>
          </rPr>
          <t>Introduzca la fecha de inicio del proceso, en formato dd-mm-aaaa</t>
        </r>
      </text>
    </comment>
    <comment ref="F25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8" authorId="2" shapeId="0">
      <text/>
    </comment>
    <comment ref="C2519" authorId="2" shapeId="0">
      <text>
        <r>
          <rPr>
            <sz val="11"/>
            <color theme="1"/>
            <rFont val="Calibri"/>
            <family val="2"/>
            <scheme val="minor"/>
          </rPr>
          <t>Introduzca la fecha prevista de adjudicación, en formato dd-mm-aaaa</t>
        </r>
      </text>
    </comment>
    <comment ref="F2519" authorId="2" shapeId="0">
      <text/>
    </comment>
    <comment ref="F2520" authorId="2" shapeId="0">
      <text/>
    </comment>
    <comment ref="A2522" authorId="2" shapeId="0">
      <text>
        <r>
          <rPr>
            <sz val="11"/>
            <color theme="1"/>
            <rFont val="Calibri"/>
            <family val="2"/>
            <scheme val="minor"/>
          </rPr>
          <t>Introduzca un codigo UNSPSC</t>
        </r>
      </text>
    </comment>
    <comment ref="B2522" authorId="2" shapeId="0">
      <text>
        <r>
          <rPr>
            <sz val="11"/>
            <color theme="1"/>
            <rFont val="Calibri"/>
            <family val="2"/>
            <scheme val="minor"/>
          </rPr>
          <t>Descripción calculada automáticamente a partir de código del artículo</t>
        </r>
      </text>
    </comment>
    <comment ref="C2522" authorId="2" shapeId="0">
      <text>
        <r>
          <rPr>
            <sz val="11"/>
            <color theme="1"/>
            <rFont val="Calibri"/>
            <family val="2"/>
            <scheme val="minor"/>
          </rPr>
          <t>Seleccione un valor de la lista</t>
        </r>
      </text>
    </comment>
    <comment ref="D2522" authorId="2" shapeId="0">
      <text>
        <r>
          <rPr>
            <sz val="11"/>
            <color theme="1"/>
            <rFont val="Calibri"/>
            <family val="2"/>
            <scheme val="minor"/>
          </rPr>
          <t>Introduzca un número con dos decimales como máximo. Debe ser igual o mayor a la "Cantidad Real Consumida"</t>
        </r>
      </text>
    </comment>
    <comment ref="E2522" authorId="2" shapeId="0">
      <text>
        <r>
          <rPr>
            <sz val="11"/>
            <color theme="1"/>
            <rFont val="Calibri"/>
            <family val="2"/>
            <scheme val="minor"/>
          </rPr>
          <t>Introduzca un número con dos decimales como máximo</t>
        </r>
      </text>
    </comment>
    <comment ref="F2522" authorId="2" shapeId="0">
      <text>
        <r>
          <rPr>
            <sz val="11"/>
            <color theme="1"/>
            <rFont val="Calibri"/>
            <family val="2"/>
            <scheme val="minor"/>
          </rPr>
          <t>Monto calculado automáticamente por el sistema</t>
        </r>
      </text>
    </comment>
    <comment ref="A2527" authorId="2" shapeId="0">
      <text>
        <r>
          <rPr>
            <sz val="11"/>
            <color theme="1"/>
            <rFont val="Calibri"/>
            <family val="2"/>
            <scheme val="minor"/>
          </rPr>
          <t>Introducir un texto con el nombre o referencia de la contratación</t>
        </r>
      </text>
    </comment>
    <comment ref="B2527" authorId="2" shapeId="0">
      <text>
        <r>
          <rPr>
            <sz val="11"/>
            <color theme="1"/>
            <rFont val="Calibri"/>
            <family val="2"/>
            <scheme val="minor"/>
          </rPr>
          <t>Introduzca un texto con la finalidad de la contratación</t>
        </r>
      </text>
    </comment>
    <comment ref="C2527" authorId="2" shapeId="0">
      <text>
        <r>
          <rPr>
            <sz val="11"/>
            <color theme="1"/>
            <rFont val="Calibri"/>
            <family val="2"/>
            <scheme val="minor"/>
          </rPr>
          <t>Seleccionar un valor del listado</t>
        </r>
      </text>
    </comment>
    <comment ref="D2527" authorId="2" shapeId="0">
      <text>
        <r>
          <rPr>
            <sz val="11"/>
            <color theme="1"/>
            <rFont val="Calibri"/>
            <family val="2"/>
            <scheme val="minor"/>
          </rPr>
          <t>Seleccione el tipo de procedimiento</t>
        </r>
      </text>
    </comment>
    <comment ref="E2527" authorId="2" shapeId="0">
      <text>
        <r>
          <rPr>
            <sz val="11"/>
            <color theme="1"/>
            <rFont val="Calibri"/>
            <family val="2"/>
            <scheme val="minor"/>
          </rPr>
          <t>Seleccione un valor de la lista</t>
        </r>
      </text>
    </comment>
    <comment ref="F2527" authorId="2" shapeId="0">
      <text>
        <r>
          <rPr>
            <sz val="11"/>
            <color theme="1"/>
            <rFont val="Calibri"/>
            <family val="2"/>
            <scheme val="minor"/>
          </rPr>
          <t>Introduzca el código SNIP</t>
        </r>
      </text>
    </comment>
    <comment ref="C2528" authorId="2" shapeId="0">
      <text>
        <r>
          <rPr>
            <sz val="11"/>
            <color theme="1"/>
            <rFont val="Calibri"/>
            <family val="2"/>
            <scheme val="minor"/>
          </rPr>
          <t>Introduzca la fecha de inicio del proceso, en formato dd-mm-aaaa</t>
        </r>
      </text>
    </comment>
    <comment ref="F25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9" authorId="2" shapeId="0">
      <text/>
    </comment>
    <comment ref="C2530" authorId="2" shapeId="0">
      <text>
        <r>
          <rPr>
            <sz val="11"/>
            <color theme="1"/>
            <rFont val="Calibri"/>
            <family val="2"/>
            <scheme val="minor"/>
          </rPr>
          <t>Introduzca la fecha prevista de adjudicación, en formato dd-mm-aaaa</t>
        </r>
      </text>
    </comment>
    <comment ref="F2530" authorId="2" shapeId="0">
      <text/>
    </comment>
    <comment ref="F2531" authorId="2" shapeId="0">
      <text/>
    </comment>
    <comment ref="A2533" authorId="2" shapeId="0">
      <text>
        <r>
          <rPr>
            <sz val="11"/>
            <color theme="1"/>
            <rFont val="Calibri"/>
            <family val="2"/>
            <scheme val="minor"/>
          </rPr>
          <t>Introduzca un codigo UNSPSC</t>
        </r>
      </text>
    </comment>
    <comment ref="B2533" authorId="2" shapeId="0">
      <text>
        <r>
          <rPr>
            <sz val="11"/>
            <color theme="1"/>
            <rFont val="Calibri"/>
            <family val="2"/>
            <scheme val="minor"/>
          </rPr>
          <t>Descripción calculada automáticamente a partir de código del artículo</t>
        </r>
      </text>
    </comment>
    <comment ref="C2533" authorId="2" shapeId="0">
      <text>
        <r>
          <rPr>
            <sz val="11"/>
            <color theme="1"/>
            <rFont val="Calibri"/>
            <family val="2"/>
            <scheme val="minor"/>
          </rPr>
          <t>Seleccione un valor de la lista</t>
        </r>
      </text>
    </comment>
    <comment ref="D2533" authorId="2" shapeId="0">
      <text>
        <r>
          <rPr>
            <sz val="11"/>
            <color theme="1"/>
            <rFont val="Calibri"/>
            <family val="2"/>
            <scheme val="minor"/>
          </rPr>
          <t>Introduzca un número con dos decimales como máximo. Debe ser igual o mayor a la "Cantidad Real Consumida"</t>
        </r>
      </text>
    </comment>
    <comment ref="E2533" authorId="2" shapeId="0">
      <text>
        <r>
          <rPr>
            <sz val="11"/>
            <color theme="1"/>
            <rFont val="Calibri"/>
            <family val="2"/>
            <scheme val="minor"/>
          </rPr>
          <t>Introduzca un número con dos decimales como máximo</t>
        </r>
      </text>
    </comment>
    <comment ref="F2533" authorId="2" shapeId="0">
      <text>
        <r>
          <rPr>
            <sz val="11"/>
            <color theme="1"/>
            <rFont val="Calibri"/>
            <family val="2"/>
            <scheme val="minor"/>
          </rPr>
          <t>Monto calculado automáticamente por el sistema</t>
        </r>
      </text>
    </comment>
    <comment ref="A2538" authorId="2" shapeId="0">
      <text>
        <r>
          <rPr>
            <sz val="11"/>
            <color theme="1"/>
            <rFont val="Calibri"/>
            <family val="2"/>
            <scheme val="minor"/>
          </rPr>
          <t>Introducir un texto con el nombre o referencia de la contratación</t>
        </r>
      </text>
    </comment>
    <comment ref="B2538" authorId="2" shapeId="0">
      <text>
        <r>
          <rPr>
            <sz val="11"/>
            <color theme="1"/>
            <rFont val="Calibri"/>
            <family val="2"/>
            <scheme val="minor"/>
          </rPr>
          <t>Introduzca un texto con la finalidad de la contratación</t>
        </r>
      </text>
    </comment>
    <comment ref="C2538" authorId="2" shapeId="0">
      <text>
        <r>
          <rPr>
            <sz val="11"/>
            <color theme="1"/>
            <rFont val="Calibri"/>
            <family val="2"/>
            <scheme val="minor"/>
          </rPr>
          <t>Seleccionar un valor del listado</t>
        </r>
      </text>
    </comment>
    <comment ref="D2538" authorId="2" shapeId="0">
      <text>
        <r>
          <rPr>
            <sz val="11"/>
            <color theme="1"/>
            <rFont val="Calibri"/>
            <family val="2"/>
            <scheme val="minor"/>
          </rPr>
          <t>Seleccione el tipo de procedimiento</t>
        </r>
      </text>
    </comment>
    <comment ref="E2538" authorId="2" shapeId="0">
      <text>
        <r>
          <rPr>
            <sz val="11"/>
            <color theme="1"/>
            <rFont val="Calibri"/>
            <family val="2"/>
            <scheme val="minor"/>
          </rPr>
          <t>Seleccione un valor de la lista</t>
        </r>
      </text>
    </comment>
    <comment ref="F2538" authorId="2" shapeId="0">
      <text>
        <r>
          <rPr>
            <sz val="11"/>
            <color theme="1"/>
            <rFont val="Calibri"/>
            <family val="2"/>
            <scheme val="minor"/>
          </rPr>
          <t>Introduzca el código SNIP</t>
        </r>
      </text>
    </comment>
    <comment ref="C2539" authorId="2" shapeId="0">
      <text>
        <r>
          <rPr>
            <sz val="11"/>
            <color theme="1"/>
            <rFont val="Calibri"/>
            <family val="2"/>
            <scheme val="minor"/>
          </rPr>
          <t>Introduzca la fecha de inicio del proceso, en formato dd-mm-aaaa</t>
        </r>
      </text>
    </comment>
    <comment ref="F25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0" authorId="2" shapeId="0">
      <text/>
    </comment>
    <comment ref="C2541" authorId="2" shapeId="0">
      <text>
        <r>
          <rPr>
            <sz val="11"/>
            <color theme="1"/>
            <rFont val="Calibri"/>
            <family val="2"/>
            <scheme val="minor"/>
          </rPr>
          <t>Introduzca la fecha prevista de adjudicación, en formato dd-mm-aaaa</t>
        </r>
      </text>
    </comment>
    <comment ref="F2541" authorId="2" shapeId="0">
      <text/>
    </comment>
    <comment ref="F2542" authorId="2" shapeId="0">
      <text/>
    </comment>
    <comment ref="A2544" authorId="2" shapeId="0">
      <text>
        <r>
          <rPr>
            <sz val="11"/>
            <color theme="1"/>
            <rFont val="Calibri"/>
            <family val="2"/>
            <scheme val="minor"/>
          </rPr>
          <t>Introduzca un codigo UNSPSC</t>
        </r>
      </text>
    </comment>
    <comment ref="B2544" authorId="2" shapeId="0">
      <text>
        <r>
          <rPr>
            <sz val="11"/>
            <color theme="1"/>
            <rFont val="Calibri"/>
            <family val="2"/>
            <scheme val="minor"/>
          </rPr>
          <t>Descripción calculada automáticamente a partir de código del artículo</t>
        </r>
      </text>
    </comment>
    <comment ref="C2544" authorId="2" shapeId="0">
      <text>
        <r>
          <rPr>
            <sz val="11"/>
            <color theme="1"/>
            <rFont val="Calibri"/>
            <family val="2"/>
            <scheme val="minor"/>
          </rPr>
          <t>Seleccione un valor de la lista</t>
        </r>
      </text>
    </comment>
    <comment ref="D2544" authorId="2" shapeId="0">
      <text>
        <r>
          <rPr>
            <sz val="11"/>
            <color theme="1"/>
            <rFont val="Calibri"/>
            <family val="2"/>
            <scheme val="minor"/>
          </rPr>
          <t>Introduzca un número con dos decimales como máximo. Debe ser igual o mayor a la "Cantidad Real Consumida"</t>
        </r>
      </text>
    </comment>
    <comment ref="E2544" authorId="2" shapeId="0">
      <text>
        <r>
          <rPr>
            <sz val="11"/>
            <color theme="1"/>
            <rFont val="Calibri"/>
            <family val="2"/>
            <scheme val="minor"/>
          </rPr>
          <t>Introduzca un número con dos decimales como máximo</t>
        </r>
      </text>
    </comment>
    <comment ref="F2544" authorId="2" shapeId="0">
      <text>
        <r>
          <rPr>
            <sz val="11"/>
            <color theme="1"/>
            <rFont val="Calibri"/>
            <family val="2"/>
            <scheme val="minor"/>
          </rPr>
          <t>Monto calculado automáticamente por el sistema</t>
        </r>
      </text>
    </comment>
    <comment ref="A2549" authorId="2" shapeId="0">
      <text>
        <r>
          <rPr>
            <sz val="11"/>
            <color theme="1"/>
            <rFont val="Calibri"/>
            <family val="2"/>
            <scheme val="minor"/>
          </rPr>
          <t>Introducir un texto con el nombre o referencia de la contratación</t>
        </r>
      </text>
    </comment>
    <comment ref="B2549" authorId="2" shapeId="0">
      <text>
        <r>
          <rPr>
            <sz val="11"/>
            <color theme="1"/>
            <rFont val="Calibri"/>
            <family val="2"/>
            <scheme val="minor"/>
          </rPr>
          <t>Introduzca un texto con la finalidad de la contratación</t>
        </r>
      </text>
    </comment>
    <comment ref="C2549" authorId="2" shapeId="0">
      <text>
        <r>
          <rPr>
            <sz val="11"/>
            <color theme="1"/>
            <rFont val="Calibri"/>
            <family val="2"/>
            <scheme val="minor"/>
          </rPr>
          <t>Seleccionar un valor del listado</t>
        </r>
      </text>
    </comment>
    <comment ref="D2549" authorId="2" shapeId="0">
      <text>
        <r>
          <rPr>
            <sz val="11"/>
            <color theme="1"/>
            <rFont val="Calibri"/>
            <family val="2"/>
            <scheme val="minor"/>
          </rPr>
          <t>Seleccione el tipo de procedimiento</t>
        </r>
      </text>
    </comment>
    <comment ref="E2549" authorId="2" shapeId="0">
      <text>
        <r>
          <rPr>
            <sz val="11"/>
            <color theme="1"/>
            <rFont val="Calibri"/>
            <family val="2"/>
            <scheme val="minor"/>
          </rPr>
          <t>Seleccione un valor de la lista</t>
        </r>
      </text>
    </comment>
    <comment ref="F2549" authorId="2" shapeId="0">
      <text>
        <r>
          <rPr>
            <sz val="11"/>
            <color theme="1"/>
            <rFont val="Calibri"/>
            <family val="2"/>
            <scheme val="minor"/>
          </rPr>
          <t>Introduzca el código SNIP</t>
        </r>
      </text>
    </comment>
    <comment ref="C2550" authorId="2" shapeId="0">
      <text>
        <r>
          <rPr>
            <sz val="11"/>
            <color theme="1"/>
            <rFont val="Calibri"/>
            <family val="2"/>
            <scheme val="minor"/>
          </rPr>
          <t>Introduzca la fecha de inicio del proceso, en formato dd-mm-aaaa</t>
        </r>
      </text>
    </comment>
    <comment ref="F25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1" authorId="2" shapeId="0">
      <text/>
    </comment>
    <comment ref="C2552" authorId="2" shapeId="0">
      <text>
        <r>
          <rPr>
            <sz val="11"/>
            <color theme="1"/>
            <rFont val="Calibri"/>
            <family val="2"/>
            <scheme val="minor"/>
          </rPr>
          <t>Introduzca la fecha prevista de adjudicación, en formato dd-mm-aaaa</t>
        </r>
      </text>
    </comment>
    <comment ref="F2552" authorId="2" shapeId="0">
      <text/>
    </comment>
    <comment ref="F2553" authorId="2" shapeId="0">
      <text/>
    </comment>
    <comment ref="A2555" authorId="2" shapeId="0">
      <text>
        <r>
          <rPr>
            <sz val="11"/>
            <color theme="1"/>
            <rFont val="Calibri"/>
            <family val="2"/>
            <scheme val="minor"/>
          </rPr>
          <t>Introduzca un codigo UNSPSC</t>
        </r>
      </text>
    </comment>
    <comment ref="B2555" authorId="2" shapeId="0">
      <text>
        <r>
          <rPr>
            <sz val="11"/>
            <color theme="1"/>
            <rFont val="Calibri"/>
            <family val="2"/>
            <scheme val="minor"/>
          </rPr>
          <t>Descripción calculada automáticamente a partir de código del artículo</t>
        </r>
      </text>
    </comment>
    <comment ref="C2555" authorId="2" shapeId="0">
      <text>
        <r>
          <rPr>
            <sz val="11"/>
            <color theme="1"/>
            <rFont val="Calibri"/>
            <family val="2"/>
            <scheme val="minor"/>
          </rPr>
          <t>Seleccione un valor de la lista</t>
        </r>
      </text>
    </comment>
    <comment ref="D2555" authorId="2" shapeId="0">
      <text>
        <r>
          <rPr>
            <sz val="11"/>
            <color theme="1"/>
            <rFont val="Calibri"/>
            <family val="2"/>
            <scheme val="minor"/>
          </rPr>
          <t>Introduzca un número con dos decimales como máximo. Debe ser igual o mayor a la "Cantidad Real Consumida"</t>
        </r>
      </text>
    </comment>
    <comment ref="E2555" authorId="2" shapeId="0">
      <text>
        <r>
          <rPr>
            <sz val="11"/>
            <color theme="1"/>
            <rFont val="Calibri"/>
            <family val="2"/>
            <scheme val="minor"/>
          </rPr>
          <t>Introduzca un número con dos decimales como máximo</t>
        </r>
      </text>
    </comment>
    <comment ref="F2555" authorId="2" shapeId="0">
      <text>
        <r>
          <rPr>
            <sz val="11"/>
            <color theme="1"/>
            <rFont val="Calibri"/>
            <family val="2"/>
            <scheme val="minor"/>
          </rPr>
          <t>Monto calculado automáticamente por el sistema</t>
        </r>
      </text>
    </comment>
    <comment ref="A2560" authorId="2" shapeId="0">
      <text>
        <r>
          <rPr>
            <sz val="11"/>
            <color theme="1"/>
            <rFont val="Calibri"/>
            <family val="2"/>
            <scheme val="minor"/>
          </rPr>
          <t>Introducir un texto con el nombre o referencia de la contratación</t>
        </r>
      </text>
    </comment>
    <comment ref="B2560" authorId="2" shapeId="0">
      <text>
        <r>
          <rPr>
            <sz val="11"/>
            <color theme="1"/>
            <rFont val="Calibri"/>
            <family val="2"/>
            <scheme val="minor"/>
          </rPr>
          <t>Introduzca un texto con la finalidad de la contratación</t>
        </r>
      </text>
    </comment>
    <comment ref="C2560" authorId="2" shapeId="0">
      <text>
        <r>
          <rPr>
            <sz val="11"/>
            <color theme="1"/>
            <rFont val="Calibri"/>
            <family val="2"/>
            <scheme val="minor"/>
          </rPr>
          <t>Seleccionar un valor del listado</t>
        </r>
      </text>
    </comment>
    <comment ref="D2560" authorId="2" shapeId="0">
      <text>
        <r>
          <rPr>
            <sz val="11"/>
            <color theme="1"/>
            <rFont val="Calibri"/>
            <family val="2"/>
            <scheme val="minor"/>
          </rPr>
          <t>Seleccione el tipo de procedimiento</t>
        </r>
      </text>
    </comment>
    <comment ref="E2560" authorId="2" shapeId="0">
      <text>
        <r>
          <rPr>
            <sz val="11"/>
            <color theme="1"/>
            <rFont val="Calibri"/>
            <family val="2"/>
            <scheme val="minor"/>
          </rPr>
          <t>Seleccione un valor de la lista</t>
        </r>
      </text>
    </comment>
    <comment ref="F2560" authorId="2" shapeId="0">
      <text>
        <r>
          <rPr>
            <sz val="11"/>
            <color theme="1"/>
            <rFont val="Calibri"/>
            <family val="2"/>
            <scheme val="minor"/>
          </rPr>
          <t>Introduzca el código SNIP</t>
        </r>
      </text>
    </comment>
    <comment ref="C2561" authorId="2" shapeId="0">
      <text>
        <r>
          <rPr>
            <sz val="11"/>
            <color theme="1"/>
            <rFont val="Calibri"/>
            <family val="2"/>
            <scheme val="minor"/>
          </rPr>
          <t>Introduzca la fecha de inicio del proceso, en formato dd-mm-aaaa</t>
        </r>
      </text>
    </comment>
    <comment ref="F25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2" authorId="2" shapeId="0">
      <text/>
    </comment>
    <comment ref="C2563" authorId="2" shapeId="0">
      <text>
        <r>
          <rPr>
            <sz val="11"/>
            <color theme="1"/>
            <rFont val="Calibri"/>
            <family val="2"/>
            <scheme val="minor"/>
          </rPr>
          <t>Introduzca la fecha prevista de adjudicación, en formato dd-mm-aaaa</t>
        </r>
      </text>
    </comment>
    <comment ref="F2563" authorId="2" shapeId="0">
      <text/>
    </comment>
    <comment ref="F2564" authorId="2" shapeId="0">
      <text/>
    </comment>
    <comment ref="A2566" authorId="2" shapeId="0">
      <text>
        <r>
          <rPr>
            <sz val="11"/>
            <color theme="1"/>
            <rFont val="Calibri"/>
            <family val="2"/>
            <scheme val="minor"/>
          </rPr>
          <t>Introduzca un codigo UNSPSC</t>
        </r>
      </text>
    </comment>
    <comment ref="B2566" authorId="2" shapeId="0">
      <text>
        <r>
          <rPr>
            <sz val="11"/>
            <color theme="1"/>
            <rFont val="Calibri"/>
            <family val="2"/>
            <scheme val="minor"/>
          </rPr>
          <t>Descripción calculada automáticamente a partir de código del artículo</t>
        </r>
      </text>
    </comment>
    <comment ref="C2566" authorId="2" shapeId="0">
      <text>
        <r>
          <rPr>
            <sz val="11"/>
            <color theme="1"/>
            <rFont val="Calibri"/>
            <family val="2"/>
            <scheme val="minor"/>
          </rPr>
          <t>Seleccione un valor de la lista</t>
        </r>
      </text>
    </comment>
    <comment ref="D2566" authorId="2" shapeId="0">
      <text>
        <r>
          <rPr>
            <sz val="11"/>
            <color theme="1"/>
            <rFont val="Calibri"/>
            <family val="2"/>
            <scheme val="minor"/>
          </rPr>
          <t>Introduzca un número con dos decimales como máximo. Debe ser igual o mayor a la "Cantidad Real Consumida"</t>
        </r>
      </text>
    </comment>
    <comment ref="E2566" authorId="2" shapeId="0">
      <text>
        <r>
          <rPr>
            <sz val="11"/>
            <color theme="1"/>
            <rFont val="Calibri"/>
            <family val="2"/>
            <scheme val="minor"/>
          </rPr>
          <t>Introduzca un número con dos decimales como máximo</t>
        </r>
      </text>
    </comment>
    <comment ref="F2566" authorId="2" shapeId="0">
      <text>
        <r>
          <rPr>
            <sz val="11"/>
            <color theme="1"/>
            <rFont val="Calibri"/>
            <family val="2"/>
            <scheme val="minor"/>
          </rPr>
          <t>Monto calculado automáticamente por el sistema</t>
        </r>
      </text>
    </comment>
    <comment ref="A2572" authorId="2" shapeId="0">
      <text>
        <r>
          <rPr>
            <sz val="11"/>
            <color theme="1"/>
            <rFont val="Calibri"/>
            <family val="2"/>
            <scheme val="minor"/>
          </rPr>
          <t>Introducir un texto con el nombre o referencia de la contratación</t>
        </r>
      </text>
    </comment>
    <comment ref="B2572" authorId="2" shapeId="0">
      <text>
        <r>
          <rPr>
            <sz val="11"/>
            <color theme="1"/>
            <rFont val="Calibri"/>
            <family val="2"/>
            <scheme val="minor"/>
          </rPr>
          <t>Introduzca un texto con la finalidad de la contratación</t>
        </r>
      </text>
    </comment>
    <comment ref="C2572" authorId="2" shapeId="0">
      <text>
        <r>
          <rPr>
            <sz val="11"/>
            <color theme="1"/>
            <rFont val="Calibri"/>
            <family val="2"/>
            <scheme val="minor"/>
          </rPr>
          <t>Seleccionar un valor del listado</t>
        </r>
      </text>
    </comment>
    <comment ref="D2572" authorId="2" shapeId="0">
      <text>
        <r>
          <rPr>
            <sz val="11"/>
            <color theme="1"/>
            <rFont val="Calibri"/>
            <family val="2"/>
            <scheme val="minor"/>
          </rPr>
          <t>Seleccione el tipo de procedimiento</t>
        </r>
      </text>
    </comment>
    <comment ref="E2572" authorId="2" shapeId="0">
      <text>
        <r>
          <rPr>
            <sz val="11"/>
            <color theme="1"/>
            <rFont val="Calibri"/>
            <family val="2"/>
            <scheme val="minor"/>
          </rPr>
          <t>Seleccione un valor de la lista</t>
        </r>
      </text>
    </comment>
    <comment ref="F2572" authorId="2" shapeId="0">
      <text>
        <r>
          <rPr>
            <sz val="11"/>
            <color theme="1"/>
            <rFont val="Calibri"/>
            <family val="2"/>
            <scheme val="minor"/>
          </rPr>
          <t>Introduzca el código SNIP</t>
        </r>
      </text>
    </comment>
    <comment ref="C2573" authorId="2" shapeId="0">
      <text>
        <r>
          <rPr>
            <sz val="11"/>
            <color theme="1"/>
            <rFont val="Calibri"/>
            <family val="2"/>
            <scheme val="minor"/>
          </rPr>
          <t>Introduzca la fecha de inicio del proceso, en formato dd-mm-aaaa</t>
        </r>
      </text>
    </comment>
    <comment ref="F25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4" authorId="2" shapeId="0">
      <text/>
    </comment>
    <comment ref="C2575" authorId="2" shapeId="0">
      <text>
        <r>
          <rPr>
            <sz val="11"/>
            <color theme="1"/>
            <rFont val="Calibri"/>
            <family val="2"/>
            <scheme val="minor"/>
          </rPr>
          <t>Introduzca la fecha prevista de adjudicación, en formato dd-mm-aaaa</t>
        </r>
      </text>
    </comment>
    <comment ref="F2575" authorId="2" shapeId="0">
      <text/>
    </comment>
    <comment ref="F2576" authorId="2" shapeId="0">
      <text/>
    </comment>
    <comment ref="A2578" authorId="2" shapeId="0">
      <text>
        <r>
          <rPr>
            <sz val="11"/>
            <color theme="1"/>
            <rFont val="Calibri"/>
            <family val="2"/>
            <scheme val="minor"/>
          </rPr>
          <t>Introduzca un codigo UNSPSC</t>
        </r>
      </text>
    </comment>
    <comment ref="B2578" authorId="2" shapeId="0">
      <text>
        <r>
          <rPr>
            <sz val="11"/>
            <color theme="1"/>
            <rFont val="Calibri"/>
            <family val="2"/>
            <scheme val="minor"/>
          </rPr>
          <t>Descripción calculada automáticamente a partir de código del artículo</t>
        </r>
      </text>
    </comment>
    <comment ref="C2578" authorId="2" shapeId="0">
      <text>
        <r>
          <rPr>
            <sz val="11"/>
            <color theme="1"/>
            <rFont val="Calibri"/>
            <family val="2"/>
            <scheme val="minor"/>
          </rPr>
          <t>Seleccione un valor de la lista</t>
        </r>
      </text>
    </comment>
    <comment ref="D2578" authorId="2" shapeId="0">
      <text>
        <r>
          <rPr>
            <sz val="11"/>
            <color theme="1"/>
            <rFont val="Calibri"/>
            <family val="2"/>
            <scheme val="minor"/>
          </rPr>
          <t>Introduzca un número con dos decimales como máximo. Debe ser igual o mayor a la "Cantidad Real Consumida"</t>
        </r>
      </text>
    </comment>
    <comment ref="E2578" authorId="2" shapeId="0">
      <text>
        <r>
          <rPr>
            <sz val="11"/>
            <color theme="1"/>
            <rFont val="Calibri"/>
            <family val="2"/>
            <scheme val="minor"/>
          </rPr>
          <t>Introduzca un número con dos decimales como máximo</t>
        </r>
      </text>
    </comment>
    <comment ref="F2578" authorId="2" shapeId="0">
      <text>
        <r>
          <rPr>
            <sz val="11"/>
            <color theme="1"/>
            <rFont val="Calibri"/>
            <family val="2"/>
            <scheme val="minor"/>
          </rPr>
          <t>Monto calculado automáticamente por el sistema</t>
        </r>
      </text>
    </comment>
    <comment ref="A2583" authorId="2" shapeId="0">
      <text>
        <r>
          <rPr>
            <sz val="11"/>
            <color theme="1"/>
            <rFont val="Calibri"/>
            <family val="2"/>
            <scheme val="minor"/>
          </rPr>
          <t>Introducir un texto con el nombre o referencia de la contratación</t>
        </r>
      </text>
    </comment>
    <comment ref="B2583" authorId="2" shapeId="0">
      <text>
        <r>
          <rPr>
            <sz val="11"/>
            <color theme="1"/>
            <rFont val="Calibri"/>
            <family val="2"/>
            <scheme val="minor"/>
          </rPr>
          <t>Introduzca un texto con la finalidad de la contratación</t>
        </r>
      </text>
    </comment>
    <comment ref="C2583" authorId="2" shapeId="0">
      <text>
        <r>
          <rPr>
            <sz val="11"/>
            <color theme="1"/>
            <rFont val="Calibri"/>
            <family val="2"/>
            <scheme val="minor"/>
          </rPr>
          <t>Seleccionar un valor del listado</t>
        </r>
      </text>
    </comment>
    <comment ref="D2583" authorId="2" shapeId="0">
      <text>
        <r>
          <rPr>
            <sz val="11"/>
            <color theme="1"/>
            <rFont val="Calibri"/>
            <family val="2"/>
            <scheme val="minor"/>
          </rPr>
          <t>Seleccione el tipo de procedimiento</t>
        </r>
      </text>
    </comment>
    <comment ref="E2583" authorId="2" shapeId="0">
      <text>
        <r>
          <rPr>
            <sz val="11"/>
            <color theme="1"/>
            <rFont val="Calibri"/>
            <family val="2"/>
            <scheme val="minor"/>
          </rPr>
          <t>Seleccione un valor de la lista</t>
        </r>
      </text>
    </comment>
    <comment ref="F2583" authorId="2" shapeId="0">
      <text>
        <r>
          <rPr>
            <sz val="11"/>
            <color theme="1"/>
            <rFont val="Calibri"/>
            <family val="2"/>
            <scheme val="minor"/>
          </rPr>
          <t>Introduzca el código SNIP</t>
        </r>
      </text>
    </comment>
    <comment ref="C2584" authorId="2" shapeId="0">
      <text>
        <r>
          <rPr>
            <sz val="11"/>
            <color theme="1"/>
            <rFont val="Calibri"/>
            <family val="2"/>
            <scheme val="minor"/>
          </rPr>
          <t>Introduzca la fecha de inicio del proceso, en formato dd-mm-aaaa</t>
        </r>
      </text>
    </comment>
    <comment ref="F2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5" authorId="2" shapeId="0">
      <text/>
    </comment>
    <comment ref="C2586" authorId="2" shapeId="0">
      <text>
        <r>
          <rPr>
            <sz val="11"/>
            <color theme="1"/>
            <rFont val="Calibri"/>
            <family val="2"/>
            <scheme val="minor"/>
          </rPr>
          <t>Introduzca la fecha prevista de adjudicación, en formato dd-mm-aaaa</t>
        </r>
      </text>
    </comment>
    <comment ref="F2586" authorId="2" shapeId="0">
      <text/>
    </comment>
    <comment ref="F2587" authorId="2" shapeId="0">
      <text/>
    </comment>
    <comment ref="A2589" authorId="2" shapeId="0">
      <text>
        <r>
          <rPr>
            <sz val="11"/>
            <color theme="1"/>
            <rFont val="Calibri"/>
            <family val="2"/>
            <scheme val="minor"/>
          </rPr>
          <t>Introduzca un codigo UNSPSC</t>
        </r>
      </text>
    </comment>
    <comment ref="B2589" authorId="2" shapeId="0">
      <text>
        <r>
          <rPr>
            <sz val="11"/>
            <color theme="1"/>
            <rFont val="Calibri"/>
            <family val="2"/>
            <scheme val="minor"/>
          </rPr>
          <t>Descripción calculada automáticamente a partir de código del artículo</t>
        </r>
      </text>
    </comment>
    <comment ref="C2589" authorId="2" shapeId="0">
      <text>
        <r>
          <rPr>
            <sz val="11"/>
            <color theme="1"/>
            <rFont val="Calibri"/>
            <family val="2"/>
            <scheme val="minor"/>
          </rPr>
          <t>Seleccione un valor de la lista</t>
        </r>
      </text>
    </comment>
    <comment ref="D2589" authorId="2" shapeId="0">
      <text>
        <r>
          <rPr>
            <sz val="11"/>
            <color theme="1"/>
            <rFont val="Calibri"/>
            <family val="2"/>
            <scheme val="minor"/>
          </rPr>
          <t>Introduzca un número con dos decimales como máximo. Debe ser igual o mayor a la "Cantidad Real Consumida"</t>
        </r>
      </text>
    </comment>
    <comment ref="E2589" authorId="2" shapeId="0">
      <text>
        <r>
          <rPr>
            <sz val="11"/>
            <color theme="1"/>
            <rFont val="Calibri"/>
            <family val="2"/>
            <scheme val="minor"/>
          </rPr>
          <t>Introduzca un número con dos decimales como máximo</t>
        </r>
      </text>
    </comment>
    <comment ref="F2589" authorId="2" shapeId="0">
      <text>
        <r>
          <rPr>
            <sz val="11"/>
            <color theme="1"/>
            <rFont val="Calibri"/>
            <family val="2"/>
            <scheme val="minor"/>
          </rPr>
          <t>Monto calculado automáticamente por el sistema</t>
        </r>
      </text>
    </comment>
    <comment ref="A2594" authorId="2" shapeId="0">
      <text>
        <r>
          <rPr>
            <sz val="11"/>
            <color theme="1"/>
            <rFont val="Calibri"/>
            <family val="2"/>
            <scheme val="minor"/>
          </rPr>
          <t>Introducir un texto con el nombre o referencia de la contratación</t>
        </r>
      </text>
    </comment>
    <comment ref="B2594" authorId="2" shapeId="0">
      <text>
        <r>
          <rPr>
            <sz val="11"/>
            <color theme="1"/>
            <rFont val="Calibri"/>
            <family val="2"/>
            <scheme val="minor"/>
          </rPr>
          <t>Introduzca un texto con la finalidad de la contratación</t>
        </r>
      </text>
    </comment>
    <comment ref="C2594" authorId="2" shapeId="0">
      <text>
        <r>
          <rPr>
            <sz val="11"/>
            <color theme="1"/>
            <rFont val="Calibri"/>
            <family val="2"/>
            <scheme val="minor"/>
          </rPr>
          <t>Seleccionar un valor del listado</t>
        </r>
      </text>
    </comment>
    <comment ref="D2594" authorId="2" shapeId="0">
      <text>
        <r>
          <rPr>
            <sz val="11"/>
            <color theme="1"/>
            <rFont val="Calibri"/>
            <family val="2"/>
            <scheme val="minor"/>
          </rPr>
          <t>Seleccione el tipo de procedimiento</t>
        </r>
      </text>
    </comment>
    <comment ref="E2594" authorId="2" shapeId="0">
      <text>
        <r>
          <rPr>
            <sz val="11"/>
            <color theme="1"/>
            <rFont val="Calibri"/>
            <family val="2"/>
            <scheme val="minor"/>
          </rPr>
          <t>Seleccione un valor de la lista</t>
        </r>
      </text>
    </comment>
    <comment ref="F2594" authorId="2" shapeId="0">
      <text>
        <r>
          <rPr>
            <sz val="11"/>
            <color theme="1"/>
            <rFont val="Calibri"/>
            <family val="2"/>
            <scheme val="minor"/>
          </rPr>
          <t>Introduzca el código SNIP</t>
        </r>
      </text>
    </comment>
    <comment ref="C2595" authorId="2" shapeId="0">
      <text>
        <r>
          <rPr>
            <sz val="11"/>
            <color theme="1"/>
            <rFont val="Calibri"/>
            <family val="2"/>
            <scheme val="minor"/>
          </rPr>
          <t>Introduzca la fecha de inicio del proceso, en formato dd-mm-aaaa</t>
        </r>
      </text>
    </comment>
    <comment ref="F2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6" authorId="2" shapeId="0">
      <text/>
    </comment>
    <comment ref="C2597" authorId="2" shapeId="0">
      <text>
        <r>
          <rPr>
            <sz val="11"/>
            <color theme="1"/>
            <rFont val="Calibri"/>
            <family val="2"/>
            <scheme val="minor"/>
          </rPr>
          <t>Introduzca la fecha prevista de adjudicación, en formato dd-mm-aaaa</t>
        </r>
      </text>
    </comment>
    <comment ref="F2597" authorId="2" shapeId="0">
      <text/>
    </comment>
    <comment ref="F2598" authorId="2" shapeId="0">
      <text/>
    </comment>
    <comment ref="A2600" authorId="2" shapeId="0">
      <text>
        <r>
          <rPr>
            <sz val="11"/>
            <color theme="1"/>
            <rFont val="Calibri"/>
            <family val="2"/>
            <scheme val="minor"/>
          </rPr>
          <t>Introduzca un codigo UNSPSC</t>
        </r>
      </text>
    </comment>
    <comment ref="B2600" authorId="2" shapeId="0">
      <text>
        <r>
          <rPr>
            <sz val="11"/>
            <color theme="1"/>
            <rFont val="Calibri"/>
            <family val="2"/>
            <scheme val="minor"/>
          </rPr>
          <t>Descripción calculada automáticamente a partir de código del artículo</t>
        </r>
      </text>
    </comment>
    <comment ref="C2600" authorId="2" shapeId="0">
      <text>
        <r>
          <rPr>
            <sz val="11"/>
            <color theme="1"/>
            <rFont val="Calibri"/>
            <family val="2"/>
            <scheme val="minor"/>
          </rPr>
          <t>Seleccione un valor de la lista</t>
        </r>
      </text>
    </comment>
    <comment ref="D2600" authorId="2" shapeId="0">
      <text>
        <r>
          <rPr>
            <sz val="11"/>
            <color theme="1"/>
            <rFont val="Calibri"/>
            <family val="2"/>
            <scheme val="minor"/>
          </rPr>
          <t>Introduzca un número con dos decimales como máximo. Debe ser igual o mayor a la "Cantidad Real Consumida"</t>
        </r>
      </text>
    </comment>
    <comment ref="E2600" authorId="2" shapeId="0">
      <text>
        <r>
          <rPr>
            <sz val="11"/>
            <color theme="1"/>
            <rFont val="Calibri"/>
            <family val="2"/>
            <scheme val="minor"/>
          </rPr>
          <t>Introduzca un número con dos decimales como máximo</t>
        </r>
      </text>
    </comment>
    <comment ref="F2600" authorId="2" shapeId="0">
      <text>
        <r>
          <rPr>
            <sz val="11"/>
            <color theme="1"/>
            <rFont val="Calibri"/>
            <family val="2"/>
            <scheme val="minor"/>
          </rPr>
          <t>Monto calculado automáticamente por el sistema</t>
        </r>
      </text>
    </comment>
    <comment ref="A2605" authorId="2" shapeId="0">
      <text>
        <r>
          <rPr>
            <sz val="11"/>
            <color theme="1"/>
            <rFont val="Calibri"/>
            <family val="2"/>
            <scheme val="minor"/>
          </rPr>
          <t>Introducir un texto con el nombre o referencia de la contratación</t>
        </r>
      </text>
    </comment>
    <comment ref="B2605" authorId="2" shapeId="0">
      <text>
        <r>
          <rPr>
            <sz val="11"/>
            <color theme="1"/>
            <rFont val="Calibri"/>
            <family val="2"/>
            <scheme val="minor"/>
          </rPr>
          <t>Introduzca un texto con la finalidad de la contratación</t>
        </r>
      </text>
    </comment>
    <comment ref="C2605" authorId="2" shapeId="0">
      <text>
        <r>
          <rPr>
            <sz val="11"/>
            <color theme="1"/>
            <rFont val="Calibri"/>
            <family val="2"/>
            <scheme val="minor"/>
          </rPr>
          <t>Seleccionar un valor del listado</t>
        </r>
      </text>
    </comment>
    <comment ref="D2605" authorId="2" shapeId="0">
      <text>
        <r>
          <rPr>
            <sz val="11"/>
            <color theme="1"/>
            <rFont val="Calibri"/>
            <family val="2"/>
            <scheme val="minor"/>
          </rPr>
          <t>Seleccione el tipo de procedimiento</t>
        </r>
      </text>
    </comment>
    <comment ref="E2605" authorId="2" shapeId="0">
      <text>
        <r>
          <rPr>
            <sz val="11"/>
            <color theme="1"/>
            <rFont val="Calibri"/>
            <family val="2"/>
            <scheme val="minor"/>
          </rPr>
          <t>Seleccione un valor de la lista</t>
        </r>
      </text>
    </comment>
    <comment ref="F2605" authorId="2" shapeId="0">
      <text>
        <r>
          <rPr>
            <sz val="11"/>
            <color theme="1"/>
            <rFont val="Calibri"/>
            <family val="2"/>
            <scheme val="minor"/>
          </rPr>
          <t>Introduzca el código SNIP</t>
        </r>
      </text>
    </comment>
    <comment ref="C2606" authorId="2" shapeId="0">
      <text>
        <r>
          <rPr>
            <sz val="11"/>
            <color theme="1"/>
            <rFont val="Calibri"/>
            <family val="2"/>
            <scheme val="minor"/>
          </rPr>
          <t>Introduzca la fecha de inicio del proceso, en formato dd-mm-aaaa</t>
        </r>
      </text>
    </comment>
    <comment ref="F2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7" authorId="2" shapeId="0">
      <text/>
    </comment>
    <comment ref="C2608" authorId="2" shapeId="0">
      <text>
        <r>
          <rPr>
            <sz val="11"/>
            <color theme="1"/>
            <rFont val="Calibri"/>
            <family val="2"/>
            <scheme val="minor"/>
          </rPr>
          <t>Introduzca la fecha prevista de adjudicación, en formato dd-mm-aaaa</t>
        </r>
      </text>
    </comment>
    <comment ref="F2608" authorId="2" shapeId="0">
      <text/>
    </comment>
    <comment ref="F2609" authorId="2" shapeId="0">
      <text/>
    </comment>
    <comment ref="A2611" authorId="2" shapeId="0">
      <text>
        <r>
          <rPr>
            <sz val="11"/>
            <color theme="1"/>
            <rFont val="Calibri"/>
            <family val="2"/>
            <scheme val="minor"/>
          </rPr>
          <t>Introduzca un codigo UNSPSC</t>
        </r>
      </text>
    </comment>
    <comment ref="B2611" authorId="2" shapeId="0">
      <text>
        <r>
          <rPr>
            <sz val="11"/>
            <color theme="1"/>
            <rFont val="Calibri"/>
            <family val="2"/>
            <scheme val="minor"/>
          </rPr>
          <t>Descripción calculada automáticamente a partir de código del artículo</t>
        </r>
      </text>
    </comment>
    <comment ref="C2611" authorId="2" shapeId="0">
      <text>
        <r>
          <rPr>
            <sz val="11"/>
            <color theme="1"/>
            <rFont val="Calibri"/>
            <family val="2"/>
            <scheme val="minor"/>
          </rPr>
          <t>Seleccione un valor de la lista</t>
        </r>
      </text>
    </comment>
    <comment ref="D2611" authorId="2" shapeId="0">
      <text>
        <r>
          <rPr>
            <sz val="11"/>
            <color theme="1"/>
            <rFont val="Calibri"/>
            <family val="2"/>
            <scheme val="minor"/>
          </rPr>
          <t>Introduzca un número con dos decimales como máximo. Debe ser igual o mayor a la "Cantidad Real Consumida"</t>
        </r>
      </text>
    </comment>
    <comment ref="E2611" authorId="2" shapeId="0">
      <text>
        <r>
          <rPr>
            <sz val="11"/>
            <color theme="1"/>
            <rFont val="Calibri"/>
            <family val="2"/>
            <scheme val="minor"/>
          </rPr>
          <t>Introduzca un número con dos decimales como máximo</t>
        </r>
      </text>
    </comment>
    <comment ref="F2611" authorId="2" shapeId="0">
      <text>
        <r>
          <rPr>
            <sz val="11"/>
            <color theme="1"/>
            <rFont val="Calibri"/>
            <family val="2"/>
            <scheme val="minor"/>
          </rPr>
          <t>Monto calculado automáticamente por el sistema</t>
        </r>
      </text>
    </comment>
    <comment ref="A2616" authorId="2" shapeId="0">
      <text>
        <r>
          <rPr>
            <sz val="11"/>
            <color theme="1"/>
            <rFont val="Calibri"/>
            <family val="2"/>
            <scheme val="minor"/>
          </rPr>
          <t>Introducir un texto con el nombre o referencia de la contratación</t>
        </r>
      </text>
    </comment>
    <comment ref="B2616" authorId="2" shapeId="0">
      <text>
        <r>
          <rPr>
            <sz val="11"/>
            <color theme="1"/>
            <rFont val="Calibri"/>
            <family val="2"/>
            <scheme val="minor"/>
          </rPr>
          <t>Introduzca un texto con la finalidad de la contratación</t>
        </r>
      </text>
    </comment>
    <comment ref="C2616" authorId="2" shapeId="0">
      <text>
        <r>
          <rPr>
            <sz val="11"/>
            <color theme="1"/>
            <rFont val="Calibri"/>
            <family val="2"/>
            <scheme val="minor"/>
          </rPr>
          <t>Seleccionar un valor del listado</t>
        </r>
      </text>
    </comment>
    <comment ref="D2616" authorId="2" shapeId="0">
      <text>
        <r>
          <rPr>
            <sz val="11"/>
            <color theme="1"/>
            <rFont val="Calibri"/>
            <family val="2"/>
            <scheme val="minor"/>
          </rPr>
          <t>Seleccione el tipo de procedimiento</t>
        </r>
      </text>
    </comment>
    <comment ref="E2616" authorId="2" shapeId="0">
      <text>
        <r>
          <rPr>
            <sz val="11"/>
            <color theme="1"/>
            <rFont val="Calibri"/>
            <family val="2"/>
            <scheme val="minor"/>
          </rPr>
          <t>Seleccione un valor de la lista</t>
        </r>
      </text>
    </comment>
    <comment ref="F2616" authorId="2" shapeId="0">
      <text>
        <r>
          <rPr>
            <sz val="11"/>
            <color theme="1"/>
            <rFont val="Calibri"/>
            <family val="2"/>
            <scheme val="minor"/>
          </rPr>
          <t>Introduzca el código SNIP</t>
        </r>
      </text>
    </comment>
    <comment ref="C2617" authorId="2" shapeId="0">
      <text>
        <r>
          <rPr>
            <sz val="11"/>
            <color theme="1"/>
            <rFont val="Calibri"/>
            <family val="2"/>
            <scheme val="minor"/>
          </rPr>
          <t>Introduzca la fecha de inicio del proceso, en formato dd-mm-aaaa</t>
        </r>
      </text>
    </comment>
    <comment ref="F26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8" authorId="2" shapeId="0">
      <text/>
    </comment>
    <comment ref="C2619" authorId="2" shapeId="0">
      <text>
        <r>
          <rPr>
            <sz val="11"/>
            <color theme="1"/>
            <rFont val="Calibri"/>
            <family val="2"/>
            <scheme val="minor"/>
          </rPr>
          <t>Introduzca la fecha prevista de adjudicación, en formato dd-mm-aaaa</t>
        </r>
      </text>
    </comment>
    <comment ref="F2619" authorId="2" shapeId="0">
      <text/>
    </comment>
    <comment ref="F2620" authorId="2" shapeId="0">
      <text/>
    </comment>
    <comment ref="A2622" authorId="2" shapeId="0">
      <text>
        <r>
          <rPr>
            <sz val="11"/>
            <color theme="1"/>
            <rFont val="Calibri"/>
            <family val="2"/>
            <scheme val="minor"/>
          </rPr>
          <t>Introduzca un codigo UNSPSC</t>
        </r>
      </text>
    </comment>
    <comment ref="B2622" authorId="2" shapeId="0">
      <text>
        <r>
          <rPr>
            <sz val="11"/>
            <color theme="1"/>
            <rFont val="Calibri"/>
            <family val="2"/>
            <scheme val="minor"/>
          </rPr>
          <t>Descripción calculada automáticamente a partir de código del artículo</t>
        </r>
      </text>
    </comment>
    <comment ref="C2622" authorId="2" shapeId="0">
      <text>
        <r>
          <rPr>
            <sz val="11"/>
            <color theme="1"/>
            <rFont val="Calibri"/>
            <family val="2"/>
            <scheme val="minor"/>
          </rPr>
          <t>Seleccione un valor de la lista</t>
        </r>
      </text>
    </comment>
    <comment ref="D2622" authorId="2" shapeId="0">
      <text>
        <r>
          <rPr>
            <sz val="11"/>
            <color theme="1"/>
            <rFont val="Calibri"/>
            <family val="2"/>
            <scheme val="minor"/>
          </rPr>
          <t>Introduzca un número con dos decimales como máximo. Debe ser igual o mayor a la "Cantidad Real Consumida"</t>
        </r>
      </text>
    </comment>
    <comment ref="E2622" authorId="2" shapeId="0">
      <text>
        <r>
          <rPr>
            <sz val="11"/>
            <color theme="1"/>
            <rFont val="Calibri"/>
            <family val="2"/>
            <scheme val="minor"/>
          </rPr>
          <t>Introduzca un número con dos decimales como máximo</t>
        </r>
      </text>
    </comment>
    <comment ref="F2622" authorId="2" shapeId="0">
      <text>
        <r>
          <rPr>
            <sz val="11"/>
            <color theme="1"/>
            <rFont val="Calibri"/>
            <family val="2"/>
            <scheme val="minor"/>
          </rPr>
          <t>Monto calculado automáticamente por el sistema</t>
        </r>
      </text>
    </comment>
    <comment ref="A2627" authorId="2" shapeId="0">
      <text>
        <r>
          <rPr>
            <sz val="11"/>
            <color theme="1"/>
            <rFont val="Calibri"/>
            <family val="2"/>
            <scheme val="minor"/>
          </rPr>
          <t>Introducir un texto con el nombre o referencia de la contratación</t>
        </r>
      </text>
    </comment>
    <comment ref="B2627" authorId="2" shapeId="0">
      <text>
        <r>
          <rPr>
            <sz val="11"/>
            <color theme="1"/>
            <rFont val="Calibri"/>
            <family val="2"/>
            <scheme val="minor"/>
          </rPr>
          <t>Introduzca un texto con la finalidad de la contratación</t>
        </r>
      </text>
    </comment>
    <comment ref="C2627" authorId="2" shapeId="0">
      <text>
        <r>
          <rPr>
            <sz val="11"/>
            <color theme="1"/>
            <rFont val="Calibri"/>
            <family val="2"/>
            <scheme val="minor"/>
          </rPr>
          <t>Seleccionar un valor del listado</t>
        </r>
      </text>
    </comment>
    <comment ref="D2627" authorId="2" shapeId="0">
      <text>
        <r>
          <rPr>
            <sz val="11"/>
            <color theme="1"/>
            <rFont val="Calibri"/>
            <family val="2"/>
            <scheme val="minor"/>
          </rPr>
          <t>Seleccione el tipo de procedimiento</t>
        </r>
      </text>
    </comment>
    <comment ref="E2627" authorId="2" shapeId="0">
      <text>
        <r>
          <rPr>
            <sz val="11"/>
            <color theme="1"/>
            <rFont val="Calibri"/>
            <family val="2"/>
            <scheme val="minor"/>
          </rPr>
          <t>Seleccione un valor de la lista</t>
        </r>
      </text>
    </comment>
    <comment ref="F2627" authorId="2" shapeId="0">
      <text>
        <r>
          <rPr>
            <sz val="11"/>
            <color theme="1"/>
            <rFont val="Calibri"/>
            <family val="2"/>
            <scheme val="minor"/>
          </rPr>
          <t>Introduzca el código SNIP</t>
        </r>
      </text>
    </comment>
    <comment ref="C2628" authorId="2" shapeId="0">
      <text>
        <r>
          <rPr>
            <sz val="11"/>
            <color theme="1"/>
            <rFont val="Calibri"/>
            <family val="2"/>
            <scheme val="minor"/>
          </rPr>
          <t>Introduzca la fecha de inicio del proceso, en formato dd-mm-aaaa</t>
        </r>
      </text>
    </comment>
    <comment ref="F26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2" shapeId="0">
      <text/>
    </comment>
    <comment ref="C2630" authorId="2" shapeId="0">
      <text>
        <r>
          <rPr>
            <sz val="11"/>
            <color theme="1"/>
            <rFont val="Calibri"/>
            <family val="2"/>
            <scheme val="minor"/>
          </rPr>
          <t>Introduzca la fecha prevista de adjudicación, en formato dd-mm-aaaa</t>
        </r>
      </text>
    </comment>
    <comment ref="F2630" authorId="2" shapeId="0">
      <text/>
    </comment>
    <comment ref="F2631" authorId="2" shapeId="0">
      <text/>
    </comment>
    <comment ref="A2633" authorId="2" shapeId="0">
      <text>
        <r>
          <rPr>
            <sz val="11"/>
            <color theme="1"/>
            <rFont val="Calibri"/>
            <family val="2"/>
            <scheme val="minor"/>
          </rPr>
          <t>Introduzca un codigo UNSPSC</t>
        </r>
      </text>
    </comment>
    <comment ref="B2633" authorId="2" shapeId="0">
      <text>
        <r>
          <rPr>
            <sz val="11"/>
            <color theme="1"/>
            <rFont val="Calibri"/>
            <family val="2"/>
            <scheme val="minor"/>
          </rPr>
          <t>Descripción calculada automáticamente a partir de código del artículo</t>
        </r>
      </text>
    </comment>
    <comment ref="C2633" authorId="2" shapeId="0">
      <text>
        <r>
          <rPr>
            <sz val="11"/>
            <color theme="1"/>
            <rFont val="Calibri"/>
            <family val="2"/>
            <scheme val="minor"/>
          </rPr>
          <t>Seleccione un valor de la lista</t>
        </r>
      </text>
    </comment>
    <comment ref="D2633" authorId="2" shapeId="0">
      <text>
        <r>
          <rPr>
            <sz val="11"/>
            <color theme="1"/>
            <rFont val="Calibri"/>
            <family val="2"/>
            <scheme val="minor"/>
          </rPr>
          <t>Introduzca un número con dos decimales como máximo. Debe ser igual o mayor a la "Cantidad Real Consumida"</t>
        </r>
      </text>
    </comment>
    <comment ref="E2633" authorId="2" shapeId="0">
      <text>
        <r>
          <rPr>
            <sz val="11"/>
            <color theme="1"/>
            <rFont val="Calibri"/>
            <family val="2"/>
            <scheme val="minor"/>
          </rPr>
          <t>Introduzca un número con dos decimales como máximo</t>
        </r>
      </text>
    </comment>
    <comment ref="F2633" authorId="2" shapeId="0">
      <text>
        <r>
          <rPr>
            <sz val="11"/>
            <color theme="1"/>
            <rFont val="Calibri"/>
            <family val="2"/>
            <scheme val="minor"/>
          </rPr>
          <t>Monto calculado automáticamente por el sistema</t>
        </r>
      </text>
    </comment>
    <comment ref="A2638" authorId="1" shapeId="0">
      <text>
        <r>
          <rPr>
            <sz val="11"/>
            <color theme="1"/>
            <rFont val="Calibri"/>
            <family val="2"/>
            <scheme val="minor"/>
          </rPr>
          <t>Introducir un texto con el nombre o referencia de la contratación</t>
        </r>
      </text>
    </comment>
    <comment ref="B2638" authorId="1" shapeId="0">
      <text>
        <r>
          <rPr>
            <sz val="11"/>
            <color theme="1"/>
            <rFont val="Calibri"/>
            <family val="2"/>
            <scheme val="minor"/>
          </rPr>
          <t>Introduzca un texto con la finalidad de la contratación</t>
        </r>
      </text>
    </comment>
    <comment ref="C2638" authorId="1" shapeId="0">
      <text>
        <r>
          <rPr>
            <sz val="11"/>
            <color theme="1"/>
            <rFont val="Calibri"/>
            <family val="2"/>
            <scheme val="minor"/>
          </rPr>
          <t>Seleccionar un valor del listado</t>
        </r>
      </text>
    </comment>
    <comment ref="D2638" authorId="1" shapeId="0">
      <text>
        <r>
          <rPr>
            <sz val="11"/>
            <color theme="1"/>
            <rFont val="Calibri"/>
            <family val="2"/>
            <scheme val="minor"/>
          </rPr>
          <t>Seleccione el tipo de procedimiento</t>
        </r>
      </text>
    </comment>
    <comment ref="E2638" authorId="1" shapeId="0">
      <text>
        <r>
          <rPr>
            <sz val="11"/>
            <color theme="1"/>
            <rFont val="Calibri"/>
            <family val="2"/>
            <scheme val="minor"/>
          </rPr>
          <t>Seleccione un valor de la lista</t>
        </r>
      </text>
    </comment>
    <comment ref="F2638" authorId="2" shapeId="0">
      <text>
        <r>
          <rPr>
            <sz val="11"/>
            <color theme="1"/>
            <rFont val="Calibri"/>
            <family val="2"/>
            <scheme val="minor"/>
          </rPr>
          <t>Introduzca el código SNIP</t>
        </r>
      </text>
    </comment>
    <comment ref="C2639" authorId="2" shapeId="0">
      <text>
        <r>
          <rPr>
            <sz val="11"/>
            <color theme="1"/>
            <rFont val="Calibri"/>
            <family val="2"/>
            <scheme val="minor"/>
          </rPr>
          <t>Introduzca la fecha de inicio del proceso, en formato dd-mm-aaaa</t>
        </r>
      </text>
    </comment>
    <comment ref="F26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0" authorId="2" shapeId="0">
      <text/>
    </comment>
    <comment ref="C2641" authorId="2" shapeId="0">
      <text>
        <r>
          <rPr>
            <sz val="11"/>
            <color theme="1"/>
            <rFont val="Calibri"/>
            <family val="2"/>
            <scheme val="minor"/>
          </rPr>
          <t>Introduzca la fecha prevista de adjudicación, en formato dd-mm-aaaa</t>
        </r>
      </text>
    </comment>
    <comment ref="F2641" authorId="2" shapeId="0">
      <text/>
    </comment>
    <comment ref="F2642" authorId="2" shapeId="0">
      <text/>
    </comment>
    <comment ref="A2644" authorId="2" shapeId="0">
      <text>
        <r>
          <rPr>
            <sz val="11"/>
            <color theme="1"/>
            <rFont val="Calibri"/>
            <family val="2"/>
            <scheme val="minor"/>
          </rPr>
          <t>Introduzca un codigo UNSPSC</t>
        </r>
      </text>
    </comment>
    <comment ref="B2644" authorId="2" shapeId="0">
      <text>
        <r>
          <rPr>
            <sz val="11"/>
            <color theme="1"/>
            <rFont val="Calibri"/>
            <family val="2"/>
            <scheme val="minor"/>
          </rPr>
          <t>Descripción calculada automáticamente a partir de código del artículo</t>
        </r>
      </text>
    </comment>
    <comment ref="C2644" authorId="2" shapeId="0">
      <text>
        <r>
          <rPr>
            <sz val="11"/>
            <color theme="1"/>
            <rFont val="Calibri"/>
            <family val="2"/>
            <scheme val="minor"/>
          </rPr>
          <t>Seleccione un valor de la lista</t>
        </r>
      </text>
    </comment>
    <comment ref="D2644" authorId="2" shapeId="0">
      <text>
        <r>
          <rPr>
            <sz val="11"/>
            <color theme="1"/>
            <rFont val="Calibri"/>
            <family val="2"/>
            <scheme val="minor"/>
          </rPr>
          <t>Introduzca un número con dos decimales como máximo. Debe ser igual o mayor a la "Cantidad Real Consumida"</t>
        </r>
      </text>
    </comment>
    <comment ref="E2644" authorId="2" shapeId="0">
      <text>
        <r>
          <rPr>
            <sz val="11"/>
            <color theme="1"/>
            <rFont val="Calibri"/>
            <family val="2"/>
            <scheme val="minor"/>
          </rPr>
          <t>Introduzca un número con dos decimales como máximo</t>
        </r>
      </text>
    </comment>
    <comment ref="F2644" authorId="2" shapeId="0">
      <text>
        <r>
          <rPr>
            <sz val="11"/>
            <color theme="1"/>
            <rFont val="Calibri"/>
            <family val="2"/>
            <scheme val="minor"/>
          </rPr>
          <t>Monto calculado automáticamente por el sistema</t>
        </r>
      </text>
    </comment>
    <comment ref="A2649" authorId="1" shapeId="0">
      <text>
        <r>
          <rPr>
            <sz val="11"/>
            <color theme="1"/>
            <rFont val="Calibri"/>
            <family val="2"/>
            <scheme val="minor"/>
          </rPr>
          <t>Introducir un texto con el nombre o referencia de la contratación</t>
        </r>
      </text>
    </comment>
    <comment ref="B2649" authorId="1" shapeId="0">
      <text>
        <r>
          <rPr>
            <sz val="11"/>
            <color theme="1"/>
            <rFont val="Calibri"/>
            <family val="2"/>
            <scheme val="minor"/>
          </rPr>
          <t>Introduzca un texto con la finalidad de la contratación</t>
        </r>
      </text>
    </comment>
    <comment ref="C2649" authorId="1" shapeId="0">
      <text>
        <r>
          <rPr>
            <sz val="11"/>
            <color theme="1"/>
            <rFont val="Calibri"/>
            <family val="2"/>
            <scheme val="minor"/>
          </rPr>
          <t>Seleccionar un valor del listado</t>
        </r>
      </text>
    </comment>
    <comment ref="D2649" authorId="1" shapeId="0">
      <text>
        <r>
          <rPr>
            <sz val="11"/>
            <color theme="1"/>
            <rFont val="Calibri"/>
            <family val="2"/>
            <scheme val="minor"/>
          </rPr>
          <t>Seleccione el tipo de procedimiento</t>
        </r>
      </text>
    </comment>
    <comment ref="E2649" authorId="1" shapeId="0">
      <text>
        <r>
          <rPr>
            <sz val="11"/>
            <color theme="1"/>
            <rFont val="Calibri"/>
            <family val="2"/>
            <scheme val="minor"/>
          </rPr>
          <t>Seleccione un valor de la lista</t>
        </r>
      </text>
    </comment>
    <comment ref="F2649" authorId="2" shapeId="0">
      <text>
        <r>
          <rPr>
            <sz val="11"/>
            <color theme="1"/>
            <rFont val="Calibri"/>
            <family val="2"/>
            <scheme val="minor"/>
          </rPr>
          <t>Introduzca el código SNIP</t>
        </r>
      </text>
    </comment>
    <comment ref="C2650" authorId="2" shapeId="0">
      <text>
        <r>
          <rPr>
            <sz val="11"/>
            <color theme="1"/>
            <rFont val="Calibri"/>
            <family val="2"/>
            <scheme val="minor"/>
          </rPr>
          <t>Introduzca la fecha de inicio del proceso, en formato dd-mm-aaaa</t>
        </r>
      </text>
    </comment>
    <comment ref="F26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1" authorId="2" shapeId="0">
      <text/>
    </comment>
    <comment ref="C2652" authorId="2" shapeId="0">
      <text>
        <r>
          <rPr>
            <sz val="11"/>
            <color theme="1"/>
            <rFont val="Calibri"/>
            <family val="2"/>
            <scheme val="minor"/>
          </rPr>
          <t>Introduzca la fecha prevista de adjudicación, en formato dd-mm-aaaa</t>
        </r>
      </text>
    </comment>
    <comment ref="F2652" authorId="2" shapeId="0">
      <text/>
    </comment>
    <comment ref="F2653" authorId="2" shapeId="0">
      <text/>
    </comment>
    <comment ref="A2655" authorId="2" shapeId="0">
      <text>
        <r>
          <rPr>
            <sz val="11"/>
            <color theme="1"/>
            <rFont val="Calibri"/>
            <family val="2"/>
            <scheme val="minor"/>
          </rPr>
          <t>Introduzca un codigo UNSPSC</t>
        </r>
      </text>
    </comment>
    <comment ref="B2655" authorId="2" shapeId="0">
      <text>
        <r>
          <rPr>
            <sz val="11"/>
            <color theme="1"/>
            <rFont val="Calibri"/>
            <family val="2"/>
            <scheme val="minor"/>
          </rPr>
          <t>Descripción calculada automáticamente a partir de código del artículo</t>
        </r>
      </text>
    </comment>
    <comment ref="C2655" authorId="2" shapeId="0">
      <text>
        <r>
          <rPr>
            <sz val="11"/>
            <color theme="1"/>
            <rFont val="Calibri"/>
            <family val="2"/>
            <scheme val="minor"/>
          </rPr>
          <t>Seleccione un valor de la lista</t>
        </r>
      </text>
    </comment>
    <comment ref="D2655" authorId="2" shapeId="0">
      <text>
        <r>
          <rPr>
            <sz val="11"/>
            <color theme="1"/>
            <rFont val="Calibri"/>
            <family val="2"/>
            <scheme val="minor"/>
          </rPr>
          <t>Introduzca un número con dos decimales como máximo. Debe ser igual o mayor a la "Cantidad Real Consumida"</t>
        </r>
      </text>
    </comment>
    <comment ref="E2655" authorId="2" shapeId="0">
      <text>
        <r>
          <rPr>
            <sz val="11"/>
            <color theme="1"/>
            <rFont val="Calibri"/>
            <family val="2"/>
            <scheme val="minor"/>
          </rPr>
          <t>Introduzca un número con dos decimales como máximo</t>
        </r>
      </text>
    </comment>
    <comment ref="F2655" authorId="2"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<sst xmlns="http://schemas.openxmlformats.org/spreadsheetml/2006/main" count="6660" uniqueCount="164">
  <si>
    <t xml:space="preserve">PLAN ANUAL DE COMPRAS Y CONTRATACIONES 
</t>
  </si>
  <si>
    <t>SNCC.F.069</t>
  </si>
  <si>
    <t xml:space="preserve">Capítulo </t>
  </si>
  <si>
    <t>0205</t>
  </si>
  <si>
    <t>Version: 1.0.0</t>
  </si>
  <si>
    <t>Sub Capítulo</t>
  </si>
  <si>
    <t>01</t>
  </si>
  <si>
    <t>Unidad Ejecutora</t>
  </si>
  <si>
    <t>0009</t>
  </si>
  <si>
    <t>Cantidad Procesos Registrados</t>
  </si>
  <si>
    <t xml:space="preserve">Unidad de Compra </t>
  </si>
  <si>
    <t>Dirección Gral de Contabilidad Gubernamental</t>
  </si>
  <si>
    <t>Monto Estimado Total</t>
  </si>
  <si>
    <t>Código de la Unidad de Compra</t>
  </si>
  <si>
    <t>000002</t>
  </si>
  <si>
    <t xml:space="preserve">Año Fiscal </t>
  </si>
  <si>
    <t>Fecha Aprobación</t>
  </si>
  <si>
    <t/>
  </si>
  <si>
    <t>NOMBRE O REFERENCIA DE CONTRATACIÓN</t>
  </si>
  <si>
    <t>FINALIDAD DE LA CONTRATACIÓN</t>
  </si>
  <si>
    <t>OBJETO DE CONTRATACIÓN</t>
  </si>
  <si>
    <t>PROCEDIMIENTO DE SELECCIÓN</t>
  </si>
  <si>
    <t>DESTINADO A MIPYMES</t>
  </si>
  <si>
    <t>CÓDIGO SNIP</t>
  </si>
  <si>
    <t>Adquisición de Material Gastables</t>
  </si>
  <si>
    <t>Material Gastable</t>
  </si>
  <si>
    <t>Bienes</t>
  </si>
  <si>
    <t>Compras Menores</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</si>
  <si>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</si>
  <si>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</si>
  <si>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</si>
  <si>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</si>
  <si>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</si>
  <si>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</si>
  <si>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</si>
  <si>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</si>
  <si>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</si>
  <si>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</si>
  <si>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</si>
  <si>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</si>
  <si>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</si>
  <si>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</si>
  <si>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</si>
  <si>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</si>
  <si>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</si>
  <si>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Caja</t>
  </si>
  <si>
    <t>Unidad</t>
  </si>
  <si>
    <t>Paquete</t>
  </si>
  <si>
    <t>Resma</t>
  </si>
  <si>
    <t>TOTAL COMPRA ESTIMADA</t>
  </si>
  <si>
    <t xml:space="preserve">Adquisición de Comestibles para consumo en la Inst. </t>
  </si>
  <si>
    <t>Comestibles</t>
  </si>
  <si>
    <t>Compras por debajo del Umbral</t>
  </si>
  <si>
    <t>Sí</t>
  </si>
  <si>
    <t>Adquisición de fardos y botellones de agua para consumo en la Inst.</t>
  </si>
  <si>
    <t xml:space="preserve">Fardos y Botellones de Agua  </t>
  </si>
  <si>
    <t>No</t>
  </si>
  <si>
    <t>Adquisición de Artículos de Limpieza para uso en la Inst.</t>
  </si>
  <si>
    <t xml:space="preserve">Artículos de Limpieza  </t>
  </si>
  <si>
    <t>Galón</t>
  </si>
  <si>
    <t>Adquisición de Tóner y cartuchos para uso en la Inst.</t>
  </si>
  <si>
    <t>Tóner y cartuchos</t>
  </si>
  <si>
    <t>MIPYME Mujeres</t>
  </si>
  <si>
    <t>Adquisición de insumo de protección personal para uso en la Inst.</t>
  </si>
  <si>
    <t xml:space="preserve">Insumo de Protección Personal  </t>
  </si>
  <si>
    <t>caja</t>
  </si>
  <si>
    <t>Adquisición de Material de Higiene personal para uso en la Inst.</t>
  </si>
  <si>
    <t>Higiene personal</t>
  </si>
  <si>
    <t>Fardos</t>
  </si>
  <si>
    <t>Adquisición de Material Ferretero para uso en la Inst.</t>
  </si>
  <si>
    <t>Material Ferretero</t>
  </si>
  <si>
    <t xml:space="preserve">Unidad </t>
  </si>
  <si>
    <t xml:space="preserve">Caja </t>
  </si>
  <si>
    <t>Mantenimiento y/o reparación de Vehículos</t>
  </si>
  <si>
    <t>Servicios</t>
  </si>
  <si>
    <t>Comparacion de Precios</t>
  </si>
  <si>
    <t>Adquisición servicio fumigación institucional y especializada</t>
  </si>
  <si>
    <t>Fumigación institucional y especializada</t>
  </si>
  <si>
    <t>Adquisición servicio de mantenimiento y reparación de Aire Acondicionado</t>
  </si>
  <si>
    <t>Mantenimiento y reparación de Aire Acondicionado</t>
  </si>
  <si>
    <t>Adquisición de Material Gastable</t>
  </si>
  <si>
    <t>Adquisición servicio de mantenimiento y reparación de Planta Eléctrica</t>
  </si>
  <si>
    <t>Servicio de Mantenimiento y reparación de Planta Eléctrica</t>
  </si>
  <si>
    <t>Contratación Servicio de Impresiones varias</t>
  </si>
  <si>
    <t>Impresiones</t>
  </si>
  <si>
    <t>Útiles de cocina y comedor</t>
  </si>
  <si>
    <t>Comunicación y/o Actuaciones artísticas</t>
  </si>
  <si>
    <t>Actuaciones artísticas</t>
  </si>
  <si>
    <t>Producto de Artes Graficas</t>
  </si>
  <si>
    <t>Adquisición refrigerio para actividades de la Institución</t>
  </si>
  <si>
    <t xml:space="preserve">Refrigerio para actividades </t>
  </si>
  <si>
    <t>Adquisición Servicios de confección Polos Bordados para uso de los colaboradores de la Inst.</t>
  </si>
  <si>
    <t>Polos Bordados</t>
  </si>
  <si>
    <t xml:space="preserve">Adquisición y/o Renovación de Licencias </t>
  </si>
  <si>
    <t xml:space="preserve">Renovación Licencias </t>
  </si>
  <si>
    <t xml:space="preserve">Comestibles  </t>
  </si>
  <si>
    <t>Adquisición de Arreglo floral</t>
  </si>
  <si>
    <t>Arreglo floral</t>
  </si>
  <si>
    <t>Adquisición de Insumos Médicos para uso en la Inst.</t>
  </si>
  <si>
    <t xml:space="preserve">Adquisición de Insumos Médicos  </t>
  </si>
  <si>
    <t>Publicidad y propaganda</t>
  </si>
  <si>
    <t>Adquisición de electrodomésticos para uso en la Inst.</t>
  </si>
  <si>
    <t>electrodomésticos</t>
  </si>
  <si>
    <t>Libros, revistas y periódicos</t>
  </si>
  <si>
    <t>Libros para entretenimiento</t>
  </si>
  <si>
    <t>Contratación auditoría externa de seguimiento a la certificación Sistema de Gestión de Calidad</t>
  </si>
  <si>
    <t>Auditoría externa de Seguimiento a la certificación Sistema de Gestión de Calidad</t>
  </si>
  <si>
    <t>Adquisición de Fortinet Access Point</t>
  </si>
  <si>
    <t>Fortinet Access Point</t>
  </si>
  <si>
    <t>Adquisición de Equipos Informáticos para uso en la Inst.</t>
  </si>
  <si>
    <t xml:space="preserve">Equipos Informáticos </t>
  </si>
  <si>
    <t>Adquisición servicio de reparación de PC, impresoras y fotocopiadora</t>
  </si>
  <si>
    <t>Reparación de PC, Impresoras y Fotocopiadora</t>
  </si>
  <si>
    <t xml:space="preserve">Adquisición de Publicidad para los medios digitales </t>
  </si>
  <si>
    <t xml:space="preserve">Publicidad para los medios digitales </t>
  </si>
  <si>
    <t>Adquisición servicio de alquiler de Mesas</t>
  </si>
  <si>
    <t>Alquiler de Mesas</t>
  </si>
  <si>
    <t>Productos para el cuidado de la piel</t>
  </si>
  <si>
    <t>Productos químicos de uso personal y de laboratorios</t>
  </si>
  <si>
    <t>Adquisición Aire acondicionado</t>
  </si>
  <si>
    <t>Equipos de Aire acondicionado</t>
  </si>
  <si>
    <t xml:space="preserve">Contratación servicio de capacitación </t>
  </si>
  <si>
    <t xml:space="preserve">Servicio de capacitación </t>
  </si>
  <si>
    <t>Contratación Refrigerio Jornada de Capacitación Innovación</t>
  </si>
  <si>
    <t>Refrigerio Jornada de Capacitación Innovación Institucional</t>
  </si>
  <si>
    <t>Adquisición servicio de mantenimiento y reparación de Extintores de Fuego</t>
  </si>
  <si>
    <t>Servicios de mantenimiento, reparación, desmonte e instalación de maquinarias y equipos</t>
  </si>
  <si>
    <t xml:space="preserve">Adquisición de Placa de reconocimiento </t>
  </si>
  <si>
    <t>Placa de reconocimiento</t>
  </si>
  <si>
    <t>Adquisición de Audiovisual y telecomunicaciones para uso en la Inst.</t>
  </si>
  <si>
    <t>Audiovisual y telecomunicaciones</t>
  </si>
  <si>
    <t>Neumáticos para automóviles o camiones ligeros</t>
  </si>
  <si>
    <t>Llantas y neumáticos</t>
  </si>
  <si>
    <t>Servicios Técnicos y Profesionales</t>
  </si>
  <si>
    <t>Servicios: Consultorías</t>
  </si>
  <si>
    <t>Diseño o decoración de interiores</t>
  </si>
  <si>
    <t xml:space="preserve">Contratación banda de música por aniversario institucional </t>
  </si>
  <si>
    <t>Banda de música</t>
  </si>
  <si>
    <t>Organizaciones de eventos culturales</t>
  </si>
  <si>
    <t>Eventos generales</t>
  </si>
  <si>
    <t>Contratación de Servicio de Bóveda Externa</t>
  </si>
  <si>
    <t>Servicio de Bóveda Externa</t>
  </si>
  <si>
    <t>Contratación de firma para Realización Jornada de Auditoria Interna del SGC</t>
  </si>
  <si>
    <t xml:space="preserve">Paquete </t>
  </si>
  <si>
    <t>Servicios de asesoramiento sobre planificación estratégica</t>
  </si>
  <si>
    <t>Otros servicios técnicos profesionales</t>
  </si>
  <si>
    <t xml:space="preserve">Adquisición de software y renovación de Licencia </t>
  </si>
  <si>
    <t>Desarrollo de políticas u objetivos empresariales PROGEF</t>
  </si>
  <si>
    <t>Otros servicios técnicos profesionales PROGEF</t>
  </si>
  <si>
    <t>Contratación Servicio de Impresión Certificados del SISACNOC PROGEF</t>
  </si>
  <si>
    <t>Impresión Certificados Instituciones cumplieron con el SISACNOC PROGEF</t>
  </si>
  <si>
    <t>Servicio de escritura de direcciones PROGEF</t>
  </si>
  <si>
    <t>Contratación Servicio de Impresiones varias PROGEF</t>
  </si>
  <si>
    <t>Impresiones PROGEF</t>
  </si>
  <si>
    <t>Adquisición servicio de alquiler de Sillas PROGEF</t>
  </si>
  <si>
    <t>Alquiler de Sillas PROGEF</t>
  </si>
  <si>
    <t>Adquisición refrigerio para actividades de la Institución PROGEF</t>
  </si>
  <si>
    <t>Refrigerio para actividades PROGEF</t>
  </si>
  <si>
    <t>Combustible diesel</t>
  </si>
  <si>
    <t>Gasoil</t>
  </si>
  <si>
    <t>Gasolina</t>
  </si>
  <si>
    <t>Adquisición servicio de almuerzo para consumo de empleados de esta Institución</t>
  </si>
  <si>
    <t>Servicio de almuerzo</t>
  </si>
  <si>
    <t>Licitacion Publica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</si>
</sst>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RD$-1C0A]* #,##0.00_-;\-[$RD$-1C0A]* #,##0.00_-;_-[$RD$-1C0A]* &quot;-&quot;??_-;_-@_-"/>
    <numFmt numFmtId="165" formatCode="dd/mm/yyyy"/>
    <numFmt numFmtId="166" formatCode="dd\-mm\-yyyy"/>
    <numFmt numFmtId="167" formatCode="_-[$RD$-1C0A]* #,##0.00_ ;_-[$RD$-1C0A]* \-#,##0.00\ ;_-[$RD$-1C0A]* &quot; - &quot;??_ ;_-@_ "/>
  </numFmts>
  <fonts count="17" x14ac:knownFonts="1">
    <font>
      <sz val="11"/>
      <color theme="1"/>
      <name val="Calibri"/>
      <family val="2"/>
      <scheme val="minor"/>
    </font>
    <font>
      <sz val="6"/>
      <color rgb="FF000000"/>
      <name val="Verdana"/>
      <family val="2"/>
    </font>
    <font>
      <sz val="16"/>
      <color rgb="FF000000"/>
      <name val="Calibri"/>
      <family val="2"/>
      <scheme val="minor"/>
    </font>
    <font>
      <sz val="20"/>
      <color rgb="FF000000"/>
      <name val="Calibri"/>
      <family val="2"/>
      <scheme val="minor"/>
    </font>
    <font>
      <sz val="10"/>
      <color rgb="FF008000"/>
      <name val="Arial"/>
      <family val="2"/>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sz val="11"/>
      <color theme="1"/>
      <name val="Arial Narrow"/>
      <family val="2"/>
    </font>
    <font>
      <b/>
      <sz val="8"/>
      <color theme="1"/>
      <name val="Calibri"/>
      <family val="2"/>
      <scheme val="minor"/>
    </font>
    <font>
      <sz val="8"/>
      <color theme="1"/>
      <name val="Calibri"/>
      <family val="2"/>
      <scheme val="minor"/>
    </font>
    <font>
      <sz val="11"/>
      <name val="Calibri"/>
      <family val="2"/>
      <scheme val="minor"/>
    </font>
    <font>
      <b/>
      <sz val="9"/>
      <name val="Tahoma"/>
      <family val="2"/>
    </font>
  </fonts>
  <fills count="10">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FFFF00"/>
        <bgColor indexed="64"/>
      </patternFill>
    </fill>
  </fills>
  <borders count="11">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medium">
        <color auto="1"/>
      </bottom>
      <diagonal/>
    </border>
    <border>
      <left/>
      <right/>
      <top style="thin">
        <color auto="1"/>
      </top>
      <bottom/>
      <diagonal/>
    </border>
  </borders>
  <cellStyleXfs count="14">
    <xf numFmtId="0" fontId="0" fillId="0" borderId="0"/>
    <xf numFmtId="0" fontId="13" fillId="5" borderId="6">
      <alignment horizontal="center" vertical="center" wrapText="1"/>
    </xf>
    <xf numFmtId="0" fontId="13" fillId="0" borderId="6">
      <alignment horizontal="center" vertical="center"/>
    </xf>
    <xf numFmtId="0" fontId="13" fillId="5" borderId="6">
      <alignment horizontal="center" vertical="center" textRotation="90" wrapText="1"/>
    </xf>
    <xf numFmtId="0" fontId="13" fillId="6" borderId="6">
      <alignment horizontal="center" vertical="center"/>
    </xf>
    <xf numFmtId="166" fontId="13" fillId="0" borderId="6">
      <alignment horizontal="center" vertical="center"/>
    </xf>
    <xf numFmtId="0" fontId="13" fillId="6" borderId="6">
      <alignment horizontal="center" vertical="center"/>
    </xf>
    <xf numFmtId="0" fontId="13" fillId="0" borderId="6">
      <alignment horizontal="left" vertical="center"/>
    </xf>
    <xf numFmtId="0" fontId="13" fillId="0" borderId="6">
      <alignment horizontal="center" vertical="center"/>
    </xf>
    <xf numFmtId="0" fontId="13" fillId="7" borderId="6">
      <alignment horizontal="center" vertical="center"/>
    </xf>
    <xf numFmtId="0" fontId="14" fillId="8" borderId="8">
      <alignment horizontal="center" vertical="center"/>
    </xf>
    <xf numFmtId="0" fontId="14" fillId="8" borderId="8">
      <alignment horizontal="center" vertical="center" wrapText="1"/>
    </xf>
    <xf numFmtId="0" fontId="14" fillId="8" borderId="8">
      <alignment horizontal="left" vertical="center"/>
    </xf>
    <xf numFmtId="167" fontId="14" fillId="8" borderId="8">
      <alignment horizontal="center" vertical="center"/>
    </xf>
  </cellStyleXfs>
  <cellXfs count="65">
    <xf numFmtId="0" fontId="0" fillId="0" borderId="0" xfId="0"/>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0" borderId="1" xfId="0" applyFont="1" applyBorder="1" applyAlignment="1" applyProtection="1">
      <alignment vertical="center"/>
      <protection hidden="1"/>
    </xf>
    <xf numFmtId="0" fontId="6" fillId="3" borderId="0" xfId="0" applyFont="1" applyFill="1" applyBorder="1" applyAlignment="1" applyProtection="1">
      <alignment horizontal="center" vertical="top" wrapText="1"/>
    </xf>
    <xf numFmtId="0" fontId="6" fillId="2" borderId="0" xfId="0" applyFont="1" applyFill="1" applyBorder="1" applyAlignment="1" applyProtection="1">
      <alignment vertical="top" wrapText="1"/>
    </xf>
    <xf numFmtId="0" fontId="6" fillId="3" borderId="0" xfId="0" applyFont="1" applyFill="1" applyBorder="1" applyAlignment="1" applyProtection="1">
      <alignment horizontal="center" vertical="center" wrapText="1"/>
    </xf>
    <xf numFmtId="0" fontId="6" fillId="2" borderId="0" xfId="0" applyFont="1" applyFill="1" applyBorder="1" applyAlignment="1" applyProtection="1">
      <alignment vertical="center" wrapText="1"/>
    </xf>
    <xf numFmtId="0" fontId="5" fillId="2" borderId="0" xfId="0" applyFont="1" applyFill="1" applyBorder="1" applyAlignment="1" applyProtection="1">
      <alignment vertical="center"/>
    </xf>
    <xf numFmtId="0" fontId="7" fillId="2" borderId="2" xfId="0" applyFont="1" applyFill="1" applyBorder="1" applyAlignment="1" applyProtection="1">
      <alignment vertical="center"/>
    </xf>
    <xf numFmtId="0" fontId="7" fillId="2" borderId="0" xfId="0" applyFont="1" applyFill="1" applyBorder="1" applyAlignment="1" applyProtection="1">
      <alignment vertical="center"/>
    </xf>
    <xf numFmtId="0" fontId="8" fillId="2" borderId="0" xfId="0" applyFont="1" applyFill="1" applyAlignment="1" applyProtection="1">
      <alignment vertical="center"/>
      <protection hidden="1"/>
    </xf>
    <xf numFmtId="0" fontId="9" fillId="2" borderId="0" xfId="0" applyFont="1" applyFill="1" applyBorder="1" applyAlignment="1" applyProtection="1">
      <alignment horizontal="left" vertical="center"/>
    </xf>
    <xf numFmtId="0" fontId="8" fillId="2" borderId="0" xfId="0" applyFont="1" applyFill="1" applyBorder="1" applyAlignment="1" applyProtection="1">
      <alignment vertical="center"/>
      <protection hidden="1"/>
    </xf>
    <xf numFmtId="0" fontId="8" fillId="2" borderId="3" xfId="0" applyFont="1" applyFill="1" applyBorder="1" applyAlignment="1" applyProtection="1">
      <alignment vertical="center"/>
      <protection hidden="1"/>
    </xf>
    <xf numFmtId="38" fontId="10" fillId="3" borderId="4" xfId="0" applyNumberFormat="1" applyFont="1" applyFill="1" applyBorder="1" applyAlignment="1" applyProtection="1">
      <alignment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0" fontId="8" fillId="0" borderId="0" xfId="0" applyFont="1" applyAlignment="1" applyProtection="1">
      <alignment vertical="center"/>
      <protection hidden="1"/>
    </xf>
    <xf numFmtId="0" fontId="9" fillId="2" borderId="0" xfId="0" applyFont="1" applyFill="1" applyBorder="1" applyAlignment="1" applyProtection="1">
      <alignment vertical="center"/>
    </xf>
    <xf numFmtId="0" fontId="10" fillId="4" borderId="4" xfId="0" applyFont="1" applyFill="1" applyBorder="1" applyAlignment="1" applyProtection="1">
      <alignment horizontal="left" vertical="center"/>
    </xf>
    <xf numFmtId="0" fontId="11" fillId="0" borderId="6" xfId="0" applyFont="1" applyFill="1" applyBorder="1" applyAlignment="1" applyProtection="1">
      <alignment vertical="center"/>
    </xf>
    <xf numFmtId="0" fontId="10" fillId="4" borderId="7" xfId="0" applyFont="1" applyFill="1" applyBorder="1" applyAlignment="1" applyProtection="1">
      <alignment horizontal="left" vertical="center"/>
    </xf>
    <xf numFmtId="164" fontId="11" fillId="0" borderId="6" xfId="0" applyNumberFormat="1" applyFont="1" applyFill="1" applyBorder="1" applyAlignment="1" applyProtection="1">
      <alignment vertical="center"/>
    </xf>
    <xf numFmtId="1" fontId="11" fillId="0" borderId="4" xfId="0" applyNumberFormat="1" applyFont="1" applyFill="1" applyBorder="1" applyAlignment="1" applyProtection="1">
      <alignment horizontal="center" vertical="center" wrapText="1"/>
      <protection locked="0"/>
    </xf>
    <xf numFmtId="1" fontId="11" fillId="0" borderId="5" xfId="0" applyNumberFormat="1" applyFont="1" applyFill="1" applyBorder="1" applyAlignment="1" applyProtection="1">
      <alignment horizontal="center" vertical="center" wrapText="1"/>
      <protection locked="0"/>
    </xf>
    <xf numFmtId="0" fontId="8" fillId="2" borderId="2" xfId="0" applyFont="1" applyFill="1" applyBorder="1" applyAlignment="1" applyProtection="1">
      <alignment vertical="center"/>
      <protection hidden="1"/>
    </xf>
    <xf numFmtId="165" fontId="11" fillId="0" borderId="4" xfId="0" applyNumberFormat="1" applyFont="1" applyFill="1" applyBorder="1" applyAlignment="1" applyProtection="1">
      <alignment horizontal="center" vertical="center" wrapText="1"/>
      <protection locked="0"/>
    </xf>
    <xf numFmtId="165" fontId="11" fillId="0" borderId="5" xfId="0" applyNumberFormat="1" applyFont="1" applyFill="1" applyBorder="1" applyAlignment="1" applyProtection="1">
      <alignment horizontal="center" vertical="center" wrapText="1"/>
      <protection locked="0"/>
    </xf>
    <xf numFmtId="0" fontId="12" fillId="0" borderId="0" xfId="0" applyFont="1" applyAlignment="1" applyProtection="1">
      <alignment vertical="center"/>
    </xf>
    <xf numFmtId="0" fontId="13" fillId="5" borderId="6" xfId="1">
      <alignment horizontal="center" vertical="center" wrapText="1"/>
    </xf>
    <xf numFmtId="0" fontId="13" fillId="0" borderId="6" xfId="2" applyFont="1" applyProtection="1">
      <alignment horizontal="center" vertical="center"/>
      <protection locked="0"/>
    </xf>
    <xf numFmtId="0" fontId="13" fillId="0" borderId="6" xfId="2" applyProtection="1">
      <alignment horizontal="center" vertical="center"/>
      <protection locked="0"/>
    </xf>
    <xf numFmtId="0" fontId="13" fillId="5" borderId="6" xfId="3">
      <alignment horizontal="center" vertical="center" textRotation="90" wrapText="1"/>
    </xf>
    <xf numFmtId="0" fontId="13" fillId="6" borderId="6" xfId="4">
      <alignment horizontal="center" vertical="center"/>
    </xf>
    <xf numFmtId="166" fontId="13" fillId="0" borderId="6" xfId="5" applyProtection="1">
      <alignment horizontal="center" vertical="center"/>
      <protection locked="0"/>
    </xf>
    <xf numFmtId="0" fontId="13" fillId="6" borderId="6" xfId="6">
      <alignment horizontal="center" vertical="center"/>
    </xf>
    <xf numFmtId="0" fontId="13" fillId="0" borderId="6" xfId="7" applyProtection="1">
      <alignment horizontal="left" vertical="center"/>
      <protection locked="0"/>
    </xf>
    <xf numFmtId="0" fontId="13" fillId="0" borderId="6" xfId="2">
      <alignment horizontal="center" vertical="center"/>
    </xf>
    <xf numFmtId="0" fontId="13" fillId="0" borderId="6" xfId="8">
      <alignment horizontal="center" vertical="center"/>
    </xf>
    <xf numFmtId="0" fontId="13" fillId="7" borderId="6" xfId="9" applyFont="1">
      <alignment horizontal="center" vertical="center"/>
    </xf>
    <xf numFmtId="0" fontId="14" fillId="8" borderId="8" xfId="10" applyProtection="1">
      <alignment horizontal="center" vertical="center"/>
      <protection locked="0"/>
    </xf>
    <xf numFmtId="0" fontId="14" fillId="8" borderId="8" xfId="11">
      <alignment horizontal="center" vertical="center" wrapText="1"/>
    </xf>
    <xf numFmtId="0" fontId="14" fillId="8" borderId="8" xfId="12" applyProtection="1">
      <alignment horizontal="left" vertical="center"/>
      <protection locked="0"/>
    </xf>
    <xf numFmtId="167" fontId="14" fillId="8" borderId="8" xfId="13" applyProtection="1">
      <alignment horizontal="center" vertical="center"/>
      <protection locked="0"/>
    </xf>
    <xf numFmtId="167" fontId="14" fillId="8" borderId="8" xfId="13">
      <alignment horizontal="center" vertical="center"/>
    </xf>
    <xf numFmtId="0" fontId="14" fillId="8" borderId="8" xfId="12" applyFont="1" applyProtection="1">
      <alignment horizontal="left" vertical="center"/>
      <protection locked="0"/>
    </xf>
    <xf numFmtId="0" fontId="13" fillId="7" borderId="8" xfId="9" applyFont="1" applyBorder="1">
      <alignment horizontal="center" vertical="center"/>
    </xf>
    <xf numFmtId="167" fontId="14" fillId="7" borderId="8" xfId="13" applyFill="1">
      <alignment horizontal="center" vertical="center"/>
    </xf>
    <xf numFmtId="0" fontId="14" fillId="0" borderId="0" xfId="0" applyFont="1" applyProtection="1"/>
    <xf numFmtId="165" fontId="13" fillId="0" borderId="6" xfId="5" applyNumberFormat="1" applyProtection="1">
      <alignment horizontal="center" vertical="center"/>
      <protection locked="0"/>
    </xf>
    <xf numFmtId="0" fontId="13" fillId="0" borderId="6" xfId="2">
      <alignment horizontal="center" vertical="center"/>
    </xf>
    <xf numFmtId="0" fontId="14" fillId="8" borderId="8" xfId="10" applyFont="1" applyProtection="1">
      <alignment horizontal="center" vertical="center"/>
      <protection locked="0"/>
    </xf>
    <xf numFmtId="0" fontId="13" fillId="7" borderId="8" xfId="9" applyBorder="1">
      <alignment horizontal="center" vertical="center"/>
    </xf>
    <xf numFmtId="0" fontId="13" fillId="0" borderId="0" xfId="9" applyFill="1" applyBorder="1">
      <alignment horizontal="center" vertical="center"/>
    </xf>
    <xf numFmtId="167" fontId="14" fillId="0" borderId="9" xfId="13" applyFill="1" applyBorder="1">
      <alignment horizontal="center" vertical="center"/>
    </xf>
    <xf numFmtId="0" fontId="14" fillId="0" borderId="0" xfId="0" applyFont="1" applyBorder="1" applyProtection="1"/>
    <xf numFmtId="0" fontId="13" fillId="0" borderId="10" xfId="9" applyFill="1" applyBorder="1">
      <alignment horizontal="center" vertical="center"/>
    </xf>
    <xf numFmtId="167" fontId="14" fillId="0" borderId="10" xfId="13" applyFill="1" applyBorder="1">
      <alignment horizontal="center" vertical="center"/>
    </xf>
    <xf numFmtId="167" fontId="14" fillId="0" borderId="0" xfId="13" applyFill="1" applyBorder="1">
      <alignment horizontal="center" vertical="center"/>
    </xf>
    <xf numFmtId="0" fontId="13" fillId="0" borderId="6" xfId="2" applyFill="1" applyProtection="1">
      <alignment horizontal="center" vertical="center"/>
      <protection locked="0"/>
    </xf>
    <xf numFmtId="0" fontId="13" fillId="9" borderId="6" xfId="2" applyFill="1" applyProtection="1">
      <alignment horizontal="center" vertical="center"/>
      <protection locked="0"/>
    </xf>
    <xf numFmtId="0" fontId="15" fillId="2" borderId="0" xfId="0" applyFont="1" applyFill="1" applyBorder="1" applyAlignment="1">
      <alignment horizontal="center" vertical="center"/>
    </xf>
    <xf numFmtId="0" fontId="15" fillId="0" borderId="0" xfId="0" applyFont="1" applyFill="1" applyBorder="1" applyAlignment="1" applyProtection="1">
      <alignment horizontal="center" vertical="center"/>
      <protection locked="0"/>
    </xf>
  </cellXfs>
  <cellStyles count="14">
    <cellStyle name="ArticleBody" xfId="10"/>
    <cellStyle name="ArticleBody_currency" xfId="13"/>
    <cellStyle name="ArticleBody_text" xfId="12"/>
    <cellStyle name="ArticleBody_UNSCPCDescription" xfId="11"/>
    <cellStyle name="ArticleHeader" xfId="9"/>
    <cellStyle name="Normal" xfId="0" builtinId="0"/>
    <cellStyle name="ProcessBody" xfId="2"/>
    <cellStyle name="ProcessBody_address" xfId="7"/>
    <cellStyle name="ProcessBody_datetime" xfId="5"/>
    <cellStyle name="ProcessBody_number" xfId="8"/>
    <cellStyle name="ProcessHeader" xfId="1"/>
    <cellStyle name="ProcessHeader_vertical" xfId="3"/>
    <cellStyle name="ProcessSubHeader" xfId="4"/>
    <cellStyle name="ProcessSubHeader_lugar" xfId="6"/>
  </cellStyles>
  <dxfs count="2">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0" hidden="0"/>
    </dxf>
    <dxf>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914400</xdr:colOff>
      <xdr:row>3</xdr:row>
      <xdr:rowOff>180975</xdr:rowOff>
    </xdr:to>
    <xdr:pic>
      <xdr:nvPicPr>
        <xdr:cNvPr id="2"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6</xdr:col>
      <xdr:colOff>76200</xdr:colOff>
      <xdr:row>5</xdr:row>
      <xdr:rowOff>57150</xdr:rowOff>
    </xdr:to>
    <xdr:pic>
      <xdr:nvPicPr>
        <xdr:cNvPr id="3"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027" name="Butto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2660</xdr:row>
          <xdr:rowOff>0</xdr:rowOff>
        </xdr:from>
        <xdr:to>
          <xdr:col>1</xdr:col>
          <xdr:colOff>457200</xdr:colOff>
          <xdr:row>2661</xdr:row>
          <xdr:rowOff>161925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029" name="Button 5" hidden="1">
              <a:extLst>
                <a:ext uri="{63B3BB69-23CF-44E3-9099-C40C66FF867C}">
                  <a14:compatExt spid="_x0000_s1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030" name="Button 6" hidden="1">
              <a:extLst>
                <a:ext uri="{63B3BB69-23CF-44E3-9099-C40C66FF867C}">
                  <a14:compatExt spid="_x0000_s1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031" name="Button 7" hidden="1">
              <a:extLst>
                <a:ext uri="{63B3BB69-23CF-44E3-9099-C40C66FF867C}">
                  <a14:compatExt spid="_x0000_s1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033" name="Button 9" hidden="1">
              <a:extLst>
                <a:ext uri="{63B3BB69-23CF-44E3-9099-C40C66FF867C}">
                  <a14:compatExt spid="_x0000_s1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034" name="Button 10"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035" name="Button 11" hidden="1">
              <a:extLst>
                <a:ext uri="{63B3BB69-23CF-44E3-9099-C40C66FF867C}">
                  <a14:compatExt spid="_x0000_s1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036" name="Button 12" hidden="1">
              <a:extLst>
                <a:ext uri="{63B3BB69-23CF-44E3-9099-C40C66FF867C}">
                  <a14:compatExt spid="_x0000_s1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037" name="Button 13" hidden="1">
              <a:extLst>
                <a:ext uri="{63B3BB69-23CF-44E3-9099-C40C66FF867C}">
                  <a14:compatExt spid="_x0000_s1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038" name="Button 14" hidden="1">
              <a:extLst>
                <a:ext uri="{63B3BB69-23CF-44E3-9099-C40C66FF867C}">
                  <a14:compatExt spid="_x0000_s1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039" name="Button 15" hidden="1">
              <a:extLst>
                <a:ext uri="{63B3BB69-23CF-44E3-9099-C40C66FF867C}">
                  <a14:compatExt spid="_x0000_s1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040" name="Button 16"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041" name="Button 17" hidden="1">
              <a:extLst>
                <a:ext uri="{63B3BB69-23CF-44E3-9099-C40C66FF867C}">
                  <a14:compatExt spid="_x0000_s1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042" name="Button 18" hidden="1">
              <a:extLst>
                <a:ext uri="{63B3BB69-23CF-44E3-9099-C40C66FF867C}">
                  <a14:compatExt spid="_x0000_s1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043" name="Button 19" hidden="1">
              <a:extLst>
                <a:ext uri="{63B3BB69-23CF-44E3-9099-C40C66FF867C}">
                  <a14:compatExt spid="_x0000_s1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044" name="Button 20" hidden="1">
              <a:extLst>
                <a:ext uri="{63B3BB69-23CF-44E3-9099-C40C66FF867C}">
                  <a14:compatExt spid="_x0000_s1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045" name="Button 21" hidden="1">
              <a:extLst>
                <a:ext uri="{63B3BB69-23CF-44E3-9099-C40C66FF867C}">
                  <a14:compatExt spid="_x0000_s1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046" name="Button 22" hidden="1">
              <a:extLst>
                <a:ext uri="{63B3BB69-23CF-44E3-9099-C40C66FF867C}">
                  <a14:compatExt spid="_x0000_s1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047" name="Button 23" hidden="1">
              <a:extLst>
                <a:ext uri="{63B3BB69-23CF-44E3-9099-C40C66FF867C}">
                  <a14:compatExt spid="_x0000_s1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048" name="Button 24" hidden="1">
              <a:extLst>
                <a:ext uri="{63B3BB69-23CF-44E3-9099-C40C66FF867C}">
                  <a14:compatExt spid="_x0000_s1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049" name="Button 25" hidden="1">
              <a:extLst>
                <a:ext uri="{63B3BB69-23CF-44E3-9099-C40C66FF867C}">
                  <a14:compatExt spid="_x0000_s1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050" name="Button 26" hidden="1">
              <a:extLst>
                <a:ext uri="{63B3BB69-23CF-44E3-9099-C40C66FF867C}">
                  <a14:compatExt spid="_x0000_s1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051" name="Button 27" hidden="1">
              <a:extLst>
                <a:ext uri="{63B3BB69-23CF-44E3-9099-C40C66FF867C}">
                  <a14:compatExt spid="_x0000_s1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052" name="Button 28" hidden="1">
              <a:extLst>
                <a:ext uri="{63B3BB69-23CF-44E3-9099-C40C66FF867C}">
                  <a14:compatExt spid="_x0000_s1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053" name="Button 29" hidden="1">
              <a:extLst>
                <a:ext uri="{63B3BB69-23CF-44E3-9099-C40C66FF867C}">
                  <a14:compatExt spid="_x0000_s1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054" name="Button 30" hidden="1">
              <a:extLst>
                <a:ext uri="{63B3BB69-23CF-44E3-9099-C40C66FF867C}">
                  <a14:compatExt spid="_x0000_s1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055" name="Button 31" hidden="1">
              <a:extLst>
                <a:ext uri="{63B3BB69-23CF-44E3-9099-C40C66FF867C}">
                  <a14:compatExt spid="_x0000_s1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056" name="Button 32" hidden="1">
              <a:extLst>
                <a:ext uri="{63B3BB69-23CF-44E3-9099-C40C66FF867C}">
                  <a14:compatExt spid="_x0000_s1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057" name="Button 33" hidden="1">
              <a:extLst>
                <a:ext uri="{63B3BB69-23CF-44E3-9099-C40C66FF867C}">
                  <a14:compatExt spid="_x0000_s1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058" name="Button 34" hidden="1">
              <a:extLst>
                <a:ext uri="{63B3BB69-23CF-44E3-9099-C40C66FF867C}">
                  <a14:compatExt spid="_x0000_s1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059" name="Button 35" hidden="1">
              <a:extLst>
                <a:ext uri="{63B3BB69-23CF-44E3-9099-C40C66FF867C}">
                  <a14:compatExt spid="_x0000_s1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060" name="Button 36" hidden="1">
              <a:extLst>
                <a:ext uri="{63B3BB69-23CF-44E3-9099-C40C66FF867C}">
                  <a14:compatExt spid="_x0000_s1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061" name="Button 37" hidden="1">
              <a:extLst>
                <a:ext uri="{63B3BB69-23CF-44E3-9099-C40C66FF867C}">
                  <a14:compatExt spid="_x0000_s1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062" name="Button 38" hidden="1">
              <a:extLst>
                <a:ext uri="{63B3BB69-23CF-44E3-9099-C40C66FF867C}">
                  <a14:compatExt spid="_x0000_s1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063" name="Button 39" hidden="1">
              <a:extLst>
                <a:ext uri="{63B3BB69-23CF-44E3-9099-C40C66FF867C}">
                  <a14:compatExt spid="_x0000_s1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064" name="Button 40" hidden="1">
              <a:extLst>
                <a:ext uri="{63B3BB69-23CF-44E3-9099-C40C66FF867C}">
                  <a14:compatExt spid="_x0000_s1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065" name="Button 41" hidden="1">
              <a:extLst>
                <a:ext uri="{63B3BB69-23CF-44E3-9099-C40C66FF867C}">
                  <a14:compatExt spid="_x0000_s1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066" name="Button 42" hidden="1">
              <a:extLst>
                <a:ext uri="{63B3BB69-23CF-44E3-9099-C40C66FF867C}">
                  <a14:compatExt spid="_x0000_s1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067" name="Button 43" hidden="1">
              <a:extLst>
                <a:ext uri="{63B3BB69-23CF-44E3-9099-C40C66FF867C}">
                  <a14:compatExt spid="_x0000_s1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068" name="Button 44" hidden="1">
              <a:extLst>
                <a:ext uri="{63B3BB69-23CF-44E3-9099-C40C66FF867C}">
                  <a14:compatExt spid="_x0000_s1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069" name="Button 45" hidden="1">
              <a:extLst>
                <a:ext uri="{63B3BB69-23CF-44E3-9099-C40C66FF867C}">
                  <a14:compatExt spid="_x0000_s1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070" name="Button 46" hidden="1">
              <a:extLst>
                <a:ext uri="{63B3BB69-23CF-44E3-9099-C40C66FF867C}">
                  <a14:compatExt spid="_x0000_s1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071" name="Button 47" hidden="1">
              <a:extLst>
                <a:ext uri="{63B3BB69-23CF-44E3-9099-C40C66FF867C}">
                  <a14:compatExt spid="_x0000_s1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072" name="Button 48" hidden="1">
              <a:extLst>
                <a:ext uri="{63B3BB69-23CF-44E3-9099-C40C66FF867C}">
                  <a14:compatExt spid="_x0000_s1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073" name="Button 49" hidden="1">
              <a:extLst>
                <a:ext uri="{63B3BB69-23CF-44E3-9099-C40C66FF867C}">
                  <a14:compatExt spid="_x0000_s1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074" name="Button 50" hidden="1">
              <a:extLst>
                <a:ext uri="{63B3BB69-23CF-44E3-9099-C40C66FF867C}">
                  <a14:compatExt spid="_x0000_s1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075" name="Button 51" hidden="1">
              <a:extLst>
                <a:ext uri="{63B3BB69-23CF-44E3-9099-C40C66FF867C}">
                  <a14:compatExt spid="_x0000_s1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076" name="Button 52" hidden="1">
              <a:extLst>
                <a:ext uri="{63B3BB69-23CF-44E3-9099-C40C66FF867C}">
                  <a14:compatExt spid="_x0000_s1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077" name="Button 53" hidden="1">
              <a:extLst>
                <a:ext uri="{63B3BB69-23CF-44E3-9099-C40C66FF867C}">
                  <a14:compatExt spid="_x0000_s1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078" name="Button 54" hidden="1">
              <a:extLst>
                <a:ext uri="{63B3BB69-23CF-44E3-9099-C40C66FF867C}">
                  <a14:compatExt spid="_x0000_s1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079" name="Button 55" hidden="1">
              <a:extLst>
                <a:ext uri="{63B3BB69-23CF-44E3-9099-C40C66FF867C}">
                  <a14:compatExt spid="_x0000_s1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080" name="Button 56" hidden="1">
              <a:extLst>
                <a:ext uri="{63B3BB69-23CF-44E3-9099-C40C66FF867C}">
                  <a14:compatExt spid="_x0000_s1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081" name="Button 57" hidden="1">
              <a:extLst>
                <a:ext uri="{63B3BB69-23CF-44E3-9099-C40C66FF867C}">
                  <a14:compatExt spid="_x0000_s1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082" name="Button 58" hidden="1">
              <a:extLst>
                <a:ext uri="{63B3BB69-23CF-44E3-9099-C40C66FF867C}">
                  <a14:compatExt spid="_x0000_s1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083" name="Button 59" hidden="1">
              <a:extLst>
                <a:ext uri="{63B3BB69-23CF-44E3-9099-C40C66FF867C}">
                  <a14:compatExt spid="_x0000_s1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084" name="Button 60" hidden="1">
              <a:extLst>
                <a:ext uri="{63B3BB69-23CF-44E3-9099-C40C66FF867C}">
                  <a14:compatExt spid="_x0000_s1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085" name="Button 61" hidden="1">
              <a:extLst>
                <a:ext uri="{63B3BB69-23CF-44E3-9099-C40C66FF867C}">
                  <a14:compatExt spid="_x0000_s1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086" name="Button 62" hidden="1">
              <a:extLst>
                <a:ext uri="{63B3BB69-23CF-44E3-9099-C40C66FF867C}">
                  <a14:compatExt spid="_x0000_s1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087" name="Button 63" hidden="1">
              <a:extLst>
                <a:ext uri="{63B3BB69-23CF-44E3-9099-C40C66FF867C}">
                  <a14:compatExt spid="_x0000_s1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088" name="Button 64" hidden="1">
              <a:extLst>
                <a:ext uri="{63B3BB69-23CF-44E3-9099-C40C66FF867C}">
                  <a14:compatExt spid="_x0000_s1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089" name="Button 65" hidden="1">
              <a:extLst>
                <a:ext uri="{63B3BB69-23CF-44E3-9099-C40C66FF867C}">
                  <a14:compatExt spid="_x0000_s1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090" name="Button 66" hidden="1">
              <a:extLst>
                <a:ext uri="{63B3BB69-23CF-44E3-9099-C40C66FF867C}">
                  <a14:compatExt spid="_x0000_s1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091" name="Button 67" hidden="1">
              <a:extLst>
                <a:ext uri="{63B3BB69-23CF-44E3-9099-C40C66FF867C}">
                  <a14:compatExt spid="_x0000_s1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092" name="Button 68" hidden="1">
              <a:extLst>
                <a:ext uri="{63B3BB69-23CF-44E3-9099-C40C66FF867C}">
                  <a14:compatExt spid="_x0000_s1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093" name="Button 69" hidden="1">
              <a:extLst>
                <a:ext uri="{63B3BB69-23CF-44E3-9099-C40C66FF867C}">
                  <a14:compatExt spid="_x0000_s1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094" name="Button 70" hidden="1">
              <a:extLst>
                <a:ext uri="{63B3BB69-23CF-44E3-9099-C40C66FF867C}">
                  <a14:compatExt spid="_x0000_s1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095" name="Button 71" hidden="1">
              <a:extLst>
                <a:ext uri="{63B3BB69-23CF-44E3-9099-C40C66FF867C}">
                  <a14:compatExt spid="_x0000_s1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096" name="Button 72" hidden="1">
              <a:extLst>
                <a:ext uri="{63B3BB69-23CF-44E3-9099-C40C66FF867C}">
                  <a14:compatExt spid="_x0000_s1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097" name="Button 73" hidden="1">
              <a:extLst>
                <a:ext uri="{63B3BB69-23CF-44E3-9099-C40C66FF867C}">
                  <a14:compatExt spid="_x0000_s1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098" name="Button 74" hidden="1">
              <a:extLst>
                <a:ext uri="{63B3BB69-23CF-44E3-9099-C40C66FF867C}">
                  <a14:compatExt spid="_x0000_s1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099" name="Button 75" hidden="1">
              <a:extLst>
                <a:ext uri="{63B3BB69-23CF-44E3-9099-C40C66FF867C}">
                  <a14:compatExt spid="_x0000_s1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100" name="Button 76" hidden="1">
              <a:extLst>
                <a:ext uri="{63B3BB69-23CF-44E3-9099-C40C66FF867C}">
                  <a14:compatExt spid="_x0000_s1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101" name="Button 77" hidden="1">
              <a:extLst>
                <a:ext uri="{63B3BB69-23CF-44E3-9099-C40C66FF867C}">
                  <a14:compatExt spid="_x0000_s1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102" name="Button 78" hidden="1">
              <a:extLst>
                <a:ext uri="{63B3BB69-23CF-44E3-9099-C40C66FF867C}">
                  <a14:compatExt spid="_x0000_s1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103" name="Button 79" hidden="1">
              <a:extLst>
                <a:ext uri="{63B3BB69-23CF-44E3-9099-C40C66FF867C}">
                  <a14:compatExt spid="_x0000_s1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104" name="Button 80" hidden="1">
              <a:extLst>
                <a:ext uri="{63B3BB69-23CF-44E3-9099-C40C66FF867C}">
                  <a14:compatExt spid="_x0000_s1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105" name="Button 81" hidden="1">
              <a:extLst>
                <a:ext uri="{63B3BB69-23CF-44E3-9099-C40C66FF867C}">
                  <a14:compatExt spid="_x0000_s1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106" name="Button 82" hidden="1">
              <a:extLst>
                <a:ext uri="{63B3BB69-23CF-44E3-9099-C40C66FF867C}">
                  <a14:compatExt spid="_x0000_s1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107" name="Button 83" hidden="1">
              <a:extLst>
                <a:ext uri="{63B3BB69-23CF-44E3-9099-C40C66FF867C}">
                  <a14:compatExt spid="_x0000_s1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108" name="Button 84" hidden="1">
              <a:extLst>
                <a:ext uri="{63B3BB69-23CF-44E3-9099-C40C66FF867C}">
                  <a14:compatExt spid="_x0000_s1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109" name="Button 85" hidden="1">
              <a:extLst>
                <a:ext uri="{63B3BB69-23CF-44E3-9099-C40C66FF867C}">
                  <a14:compatExt spid="_x0000_s1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110" name="Button 86" hidden="1">
              <a:extLst>
                <a:ext uri="{63B3BB69-23CF-44E3-9099-C40C66FF867C}">
                  <a14:compatExt spid="_x0000_s1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111" name="Button 87" hidden="1">
              <a:extLst>
                <a:ext uri="{63B3BB69-23CF-44E3-9099-C40C66FF867C}">
                  <a14:compatExt spid="_x0000_s1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112" name="Button 88" hidden="1">
              <a:extLst>
                <a:ext uri="{63B3BB69-23CF-44E3-9099-C40C66FF867C}">
                  <a14:compatExt spid="_x0000_s1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113" name="Button 89" hidden="1">
              <a:extLst>
                <a:ext uri="{63B3BB69-23CF-44E3-9099-C40C66FF867C}">
                  <a14:compatExt spid="_x0000_s11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114" name="Button 90" hidden="1">
              <a:extLst>
                <a:ext uri="{63B3BB69-23CF-44E3-9099-C40C66FF867C}">
                  <a14:compatExt spid="_x0000_s11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115" name="Button 91" hidden="1">
              <a:extLst>
                <a:ext uri="{63B3BB69-23CF-44E3-9099-C40C66FF867C}">
                  <a14:compatExt spid="_x0000_s1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116" name="Button 92" hidden="1">
              <a:extLst>
                <a:ext uri="{63B3BB69-23CF-44E3-9099-C40C66FF867C}">
                  <a14:compatExt spid="_x0000_s1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117" name="Button 93" hidden="1">
              <a:extLst>
                <a:ext uri="{63B3BB69-23CF-44E3-9099-C40C66FF867C}">
                  <a14:compatExt spid="_x0000_s1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118" name="Button 94" hidden="1">
              <a:extLst>
                <a:ext uri="{63B3BB69-23CF-44E3-9099-C40C66FF867C}">
                  <a14:compatExt spid="_x0000_s1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119" name="Button 95" hidden="1">
              <a:extLst>
                <a:ext uri="{63B3BB69-23CF-44E3-9099-C40C66FF867C}">
                  <a14:compatExt spid="_x0000_s1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120" name="Button 96" hidden="1">
              <a:extLst>
                <a:ext uri="{63B3BB69-23CF-44E3-9099-C40C66FF867C}">
                  <a14:compatExt spid="_x0000_s1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121" name="Button 97" hidden="1">
              <a:extLst>
                <a:ext uri="{63B3BB69-23CF-44E3-9099-C40C66FF867C}">
                  <a14:compatExt spid="_x0000_s1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122" name="Button 98" hidden="1">
              <a:extLst>
                <a:ext uri="{63B3BB69-23CF-44E3-9099-C40C66FF867C}">
                  <a14:compatExt spid="_x0000_s1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123" name="Button 99" hidden="1">
              <a:extLst>
                <a:ext uri="{63B3BB69-23CF-44E3-9099-C40C66FF867C}">
                  <a14:compatExt spid="_x0000_s1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124" name="Button 100" hidden="1">
              <a:extLst>
                <a:ext uri="{63B3BB69-23CF-44E3-9099-C40C66FF867C}">
                  <a14:compatExt spid="_x0000_s11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125" name="Button 101" hidden="1">
              <a:extLst>
                <a:ext uri="{63B3BB69-23CF-44E3-9099-C40C66FF867C}">
                  <a14:compatExt spid="_x0000_s1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126" name="Button 102" hidden="1">
              <a:extLst>
                <a:ext uri="{63B3BB69-23CF-44E3-9099-C40C66FF867C}">
                  <a14:compatExt spid="_x0000_s11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127" name="Button 103" hidden="1">
              <a:extLst>
                <a:ext uri="{63B3BB69-23CF-44E3-9099-C40C66FF867C}">
                  <a14:compatExt spid="_x0000_s1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128" name="Button 104" hidden="1">
              <a:extLst>
                <a:ext uri="{63B3BB69-23CF-44E3-9099-C40C66FF867C}">
                  <a14:compatExt spid="_x0000_s11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129" name="Button 105" hidden="1">
              <a:extLst>
                <a:ext uri="{63B3BB69-23CF-44E3-9099-C40C66FF867C}">
                  <a14:compatExt spid="_x0000_s1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130" name="Button 106" hidden="1">
              <a:extLst>
                <a:ext uri="{63B3BB69-23CF-44E3-9099-C40C66FF867C}">
                  <a14:compatExt spid="_x0000_s11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131" name="Button 107" hidden="1">
              <a:extLst>
                <a:ext uri="{63B3BB69-23CF-44E3-9099-C40C66FF867C}">
                  <a14:compatExt spid="_x0000_s1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132" name="Button 108" hidden="1">
              <a:extLst>
                <a:ext uri="{63B3BB69-23CF-44E3-9099-C40C66FF867C}">
                  <a14:compatExt spid="_x0000_s1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133" name="Button 109" hidden="1">
              <a:extLst>
                <a:ext uri="{63B3BB69-23CF-44E3-9099-C40C66FF867C}">
                  <a14:compatExt spid="_x0000_s1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134" name="Button 110" hidden="1">
              <a:extLst>
                <a:ext uri="{63B3BB69-23CF-44E3-9099-C40C66FF867C}">
                  <a14:compatExt spid="_x0000_s1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135" name="Button 111" hidden="1">
              <a:extLst>
                <a:ext uri="{63B3BB69-23CF-44E3-9099-C40C66FF867C}">
                  <a14:compatExt spid="_x0000_s1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136" name="Button 112" hidden="1">
              <a:extLst>
                <a:ext uri="{63B3BB69-23CF-44E3-9099-C40C66FF867C}">
                  <a14:compatExt spid="_x0000_s1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137" name="Button 113" hidden="1">
              <a:extLst>
                <a:ext uri="{63B3BB69-23CF-44E3-9099-C40C66FF867C}">
                  <a14:compatExt spid="_x0000_s1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138" name="Button 114" hidden="1">
              <a:extLst>
                <a:ext uri="{63B3BB69-23CF-44E3-9099-C40C66FF867C}">
                  <a14:compatExt spid="_x0000_s1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139" name="Button 115" hidden="1">
              <a:extLst>
                <a:ext uri="{63B3BB69-23CF-44E3-9099-C40C66FF867C}">
                  <a14:compatExt spid="_x0000_s1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140" name="Button 116" hidden="1">
              <a:extLst>
                <a:ext uri="{63B3BB69-23CF-44E3-9099-C40C66FF867C}">
                  <a14:compatExt spid="_x0000_s1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141" name="Button 117" hidden="1">
              <a:extLst>
                <a:ext uri="{63B3BB69-23CF-44E3-9099-C40C66FF867C}">
                  <a14:compatExt spid="_x0000_s1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142" name="Button 118" hidden="1">
              <a:extLst>
                <a:ext uri="{63B3BB69-23CF-44E3-9099-C40C66FF867C}">
                  <a14:compatExt spid="_x0000_s1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143" name="Button 119" hidden="1">
              <a:extLst>
                <a:ext uri="{63B3BB69-23CF-44E3-9099-C40C66FF867C}">
                  <a14:compatExt spid="_x0000_s1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144" name="Button 120" hidden="1">
              <a:extLst>
                <a:ext uri="{63B3BB69-23CF-44E3-9099-C40C66FF867C}">
                  <a14:compatExt spid="_x0000_s1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145" name="Button 121" hidden="1">
              <a:extLst>
                <a:ext uri="{63B3BB69-23CF-44E3-9099-C40C66FF867C}">
                  <a14:compatExt spid="_x0000_s1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146" name="Button 122" hidden="1">
              <a:extLst>
                <a:ext uri="{63B3BB69-23CF-44E3-9099-C40C66FF867C}">
                  <a14:compatExt spid="_x0000_s1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147" name="Button 123" hidden="1">
              <a:extLst>
                <a:ext uri="{63B3BB69-23CF-44E3-9099-C40C66FF867C}">
                  <a14:compatExt spid="_x0000_s1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148" name="Button 124" hidden="1">
              <a:extLst>
                <a:ext uri="{63B3BB69-23CF-44E3-9099-C40C66FF867C}">
                  <a14:compatExt spid="_x0000_s1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149" name="Button 125" hidden="1">
              <a:extLst>
                <a:ext uri="{63B3BB69-23CF-44E3-9099-C40C66FF867C}">
                  <a14:compatExt spid="_x0000_s1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150" name="Button 126" hidden="1">
              <a:extLst>
                <a:ext uri="{63B3BB69-23CF-44E3-9099-C40C66FF867C}">
                  <a14:compatExt spid="_x0000_s1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151" name="Button 127" hidden="1">
              <a:extLst>
                <a:ext uri="{63B3BB69-23CF-44E3-9099-C40C66FF867C}">
                  <a14:compatExt spid="_x0000_s1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152" name="Button 128" hidden="1">
              <a:extLst>
                <a:ext uri="{63B3BB69-23CF-44E3-9099-C40C66FF867C}">
                  <a14:compatExt spid="_x0000_s1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153" name="Button 129" hidden="1">
              <a:extLst>
                <a:ext uri="{63B3BB69-23CF-44E3-9099-C40C66FF867C}">
                  <a14:compatExt spid="_x0000_s11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154" name="Button 130" hidden="1">
              <a:extLst>
                <a:ext uri="{63B3BB69-23CF-44E3-9099-C40C66FF867C}">
                  <a14:compatExt spid="_x0000_s1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155" name="Button 131" hidden="1">
              <a:extLst>
                <a:ext uri="{63B3BB69-23CF-44E3-9099-C40C66FF867C}">
                  <a14:compatExt spid="_x0000_s11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156" name="Button 132" hidden="1">
              <a:extLst>
                <a:ext uri="{63B3BB69-23CF-44E3-9099-C40C66FF867C}">
                  <a14:compatExt spid="_x0000_s1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157" name="Button 133" hidden="1">
              <a:extLst>
                <a:ext uri="{63B3BB69-23CF-44E3-9099-C40C66FF867C}">
                  <a14:compatExt spid="_x0000_s1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158" name="Button 134" hidden="1">
              <a:extLst>
                <a:ext uri="{63B3BB69-23CF-44E3-9099-C40C66FF867C}">
                  <a14:compatExt spid="_x0000_s1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159" name="Button 135" hidden="1">
              <a:extLst>
                <a:ext uri="{63B3BB69-23CF-44E3-9099-C40C66FF867C}">
                  <a14:compatExt spid="_x0000_s1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160" name="Button 136" hidden="1">
              <a:extLst>
                <a:ext uri="{63B3BB69-23CF-44E3-9099-C40C66FF867C}">
                  <a14:compatExt spid="_x0000_s1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161" name="Button 137" hidden="1">
              <a:extLst>
                <a:ext uri="{63B3BB69-23CF-44E3-9099-C40C66FF867C}">
                  <a14:compatExt spid="_x0000_s1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162" name="Button 138" hidden="1">
              <a:extLst>
                <a:ext uri="{63B3BB69-23CF-44E3-9099-C40C66FF867C}">
                  <a14:compatExt spid="_x0000_s1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163" name="Button 139" hidden="1">
              <a:extLst>
                <a:ext uri="{63B3BB69-23CF-44E3-9099-C40C66FF867C}">
                  <a14:compatExt spid="_x0000_s1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164" name="Button 140" hidden="1">
              <a:extLst>
                <a:ext uri="{63B3BB69-23CF-44E3-9099-C40C66FF867C}">
                  <a14:compatExt spid="_x0000_s1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165" name="Button 141" hidden="1">
              <a:extLst>
                <a:ext uri="{63B3BB69-23CF-44E3-9099-C40C66FF867C}">
                  <a14:compatExt spid="_x0000_s1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166" name="Button 142" hidden="1">
              <a:extLst>
                <a:ext uri="{63B3BB69-23CF-44E3-9099-C40C66FF867C}">
                  <a14:compatExt spid="_x0000_s1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167" name="Button 143" hidden="1">
              <a:extLst>
                <a:ext uri="{63B3BB69-23CF-44E3-9099-C40C66FF867C}">
                  <a14:compatExt spid="_x0000_s1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168" name="Button 144" hidden="1">
              <a:extLst>
                <a:ext uri="{63B3BB69-23CF-44E3-9099-C40C66FF867C}">
                  <a14:compatExt spid="_x0000_s1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169" name="Button 145" hidden="1">
              <a:extLst>
                <a:ext uri="{63B3BB69-23CF-44E3-9099-C40C66FF867C}">
                  <a14:compatExt spid="_x0000_s1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170" name="Button 146" hidden="1">
              <a:extLst>
                <a:ext uri="{63B3BB69-23CF-44E3-9099-C40C66FF867C}">
                  <a14:compatExt spid="_x0000_s1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171" name="Button 147" hidden="1">
              <a:extLst>
                <a:ext uri="{63B3BB69-23CF-44E3-9099-C40C66FF867C}">
                  <a14:compatExt spid="_x0000_s1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172" name="Button 148" hidden="1">
              <a:extLst>
                <a:ext uri="{63B3BB69-23CF-44E3-9099-C40C66FF867C}">
                  <a14:compatExt spid="_x0000_s1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173" name="Button 149" hidden="1">
              <a:extLst>
                <a:ext uri="{63B3BB69-23CF-44E3-9099-C40C66FF867C}">
                  <a14:compatExt spid="_x0000_s1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174" name="Button 150" hidden="1">
              <a:extLst>
                <a:ext uri="{63B3BB69-23CF-44E3-9099-C40C66FF867C}">
                  <a14:compatExt spid="_x0000_s1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175" name="Button 151" hidden="1">
              <a:extLst>
                <a:ext uri="{63B3BB69-23CF-44E3-9099-C40C66FF867C}">
                  <a14:compatExt spid="_x0000_s1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176" name="Button 152" hidden="1">
              <a:extLst>
                <a:ext uri="{63B3BB69-23CF-44E3-9099-C40C66FF867C}">
                  <a14:compatExt spid="_x0000_s1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177" name="Button 153" hidden="1">
              <a:extLst>
                <a:ext uri="{63B3BB69-23CF-44E3-9099-C40C66FF867C}">
                  <a14:compatExt spid="_x0000_s1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178" name="Button 154" hidden="1">
              <a:extLst>
                <a:ext uri="{63B3BB69-23CF-44E3-9099-C40C66FF867C}">
                  <a14:compatExt spid="_x0000_s1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179" name="Button 155" hidden="1">
              <a:extLst>
                <a:ext uri="{63B3BB69-23CF-44E3-9099-C40C66FF867C}">
                  <a14:compatExt spid="_x0000_s1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180" name="Button 156" hidden="1">
              <a:extLst>
                <a:ext uri="{63B3BB69-23CF-44E3-9099-C40C66FF867C}">
                  <a14:compatExt spid="_x0000_s1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181" name="Button 157" hidden="1">
              <a:extLst>
                <a:ext uri="{63B3BB69-23CF-44E3-9099-C40C66FF867C}">
                  <a14:compatExt spid="_x0000_s1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182" name="Button 158" hidden="1">
              <a:extLst>
                <a:ext uri="{63B3BB69-23CF-44E3-9099-C40C66FF867C}">
                  <a14:compatExt spid="_x0000_s1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183" name="Button 159" hidden="1">
              <a:extLst>
                <a:ext uri="{63B3BB69-23CF-44E3-9099-C40C66FF867C}">
                  <a14:compatExt spid="_x0000_s1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184" name="Button 160" hidden="1">
              <a:extLst>
                <a:ext uri="{63B3BB69-23CF-44E3-9099-C40C66FF867C}">
                  <a14:compatExt spid="_x0000_s1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185" name="Button 161" hidden="1">
              <a:extLst>
                <a:ext uri="{63B3BB69-23CF-44E3-9099-C40C66FF867C}">
                  <a14:compatExt spid="_x0000_s1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186" name="Button 162" hidden="1">
              <a:extLst>
                <a:ext uri="{63B3BB69-23CF-44E3-9099-C40C66FF867C}">
                  <a14:compatExt spid="_x0000_s1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187" name="Button 163" hidden="1">
              <a:extLst>
                <a:ext uri="{63B3BB69-23CF-44E3-9099-C40C66FF867C}">
                  <a14:compatExt spid="_x0000_s1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188" name="Button 164" hidden="1">
              <a:extLst>
                <a:ext uri="{63B3BB69-23CF-44E3-9099-C40C66FF867C}">
                  <a14:compatExt spid="_x0000_s1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189" name="Button 165" hidden="1">
              <a:extLst>
                <a:ext uri="{63B3BB69-23CF-44E3-9099-C40C66FF867C}">
                  <a14:compatExt spid="_x0000_s1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190" name="Button 166" hidden="1">
              <a:extLst>
                <a:ext uri="{63B3BB69-23CF-44E3-9099-C40C66FF867C}">
                  <a14:compatExt spid="_x0000_s1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191" name="Button 167" hidden="1">
              <a:extLst>
                <a:ext uri="{63B3BB69-23CF-44E3-9099-C40C66FF867C}">
                  <a14:compatExt spid="_x0000_s1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192" name="Button 168" hidden="1">
              <a:extLst>
                <a:ext uri="{63B3BB69-23CF-44E3-9099-C40C66FF867C}">
                  <a14:compatExt spid="_x0000_s11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193" name="Button 169" hidden="1">
              <a:extLst>
                <a:ext uri="{63B3BB69-23CF-44E3-9099-C40C66FF867C}">
                  <a14:compatExt spid="_x0000_s1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194" name="Button 170" hidden="1">
              <a:extLst>
                <a:ext uri="{63B3BB69-23CF-44E3-9099-C40C66FF867C}">
                  <a14:compatExt spid="_x0000_s11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195" name="Button 171" hidden="1">
              <a:extLst>
                <a:ext uri="{63B3BB69-23CF-44E3-9099-C40C66FF867C}">
                  <a14:compatExt spid="_x0000_s1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196" name="Button 172" hidden="1">
              <a:extLst>
                <a:ext uri="{63B3BB69-23CF-44E3-9099-C40C66FF867C}">
                  <a14:compatExt spid="_x0000_s1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197" name="Button 173" hidden="1">
              <a:extLst>
                <a:ext uri="{63B3BB69-23CF-44E3-9099-C40C66FF867C}">
                  <a14:compatExt spid="_x0000_s11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198" name="Button 174" hidden="1">
              <a:extLst>
                <a:ext uri="{63B3BB69-23CF-44E3-9099-C40C66FF867C}">
                  <a14:compatExt spid="_x0000_s1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199" name="Button 175" hidden="1">
              <a:extLst>
                <a:ext uri="{63B3BB69-23CF-44E3-9099-C40C66FF867C}">
                  <a14:compatExt spid="_x0000_s11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00" name="Button 176" hidden="1">
              <a:extLst>
                <a:ext uri="{63B3BB69-23CF-44E3-9099-C40C66FF867C}">
                  <a14:compatExt spid="_x0000_s1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01" name="Button 177" hidden="1">
              <a:extLst>
                <a:ext uri="{63B3BB69-23CF-44E3-9099-C40C66FF867C}">
                  <a14:compatExt spid="_x0000_s1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02" name="Button 178" hidden="1">
              <a:extLst>
                <a:ext uri="{63B3BB69-23CF-44E3-9099-C40C66FF867C}">
                  <a14:compatExt spid="_x0000_s1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03" name="Button 179" hidden="1">
              <a:extLst>
                <a:ext uri="{63B3BB69-23CF-44E3-9099-C40C66FF867C}">
                  <a14:compatExt spid="_x0000_s12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04" name="Button 180" hidden="1">
              <a:extLst>
                <a:ext uri="{63B3BB69-23CF-44E3-9099-C40C66FF867C}">
                  <a14:compatExt spid="_x0000_s1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05" name="Button 181" hidden="1">
              <a:extLst>
                <a:ext uri="{63B3BB69-23CF-44E3-9099-C40C66FF867C}">
                  <a14:compatExt spid="_x0000_s12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06" name="Button 182" hidden="1">
              <a:extLst>
                <a:ext uri="{63B3BB69-23CF-44E3-9099-C40C66FF867C}">
                  <a14:compatExt spid="_x0000_s1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07" name="Button 183" hidden="1">
              <a:extLst>
                <a:ext uri="{63B3BB69-23CF-44E3-9099-C40C66FF867C}">
                  <a14:compatExt spid="_x0000_s1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08" name="Button 184" hidden="1">
              <a:extLst>
                <a:ext uri="{63B3BB69-23CF-44E3-9099-C40C66FF867C}">
                  <a14:compatExt spid="_x0000_s1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09" name="Button 185" hidden="1">
              <a:extLst>
                <a:ext uri="{63B3BB69-23CF-44E3-9099-C40C66FF867C}">
                  <a14:compatExt spid="_x0000_s1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10" name="Button 186" hidden="1">
              <a:extLst>
                <a:ext uri="{63B3BB69-23CF-44E3-9099-C40C66FF867C}">
                  <a14:compatExt spid="_x0000_s1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11" name="Button 187" hidden="1">
              <a:extLst>
                <a:ext uri="{63B3BB69-23CF-44E3-9099-C40C66FF867C}">
                  <a14:compatExt spid="_x0000_s1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12" name="Button 188" hidden="1">
              <a:extLst>
                <a:ext uri="{63B3BB69-23CF-44E3-9099-C40C66FF867C}">
                  <a14:compatExt spid="_x0000_s1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13" name="Button 189" hidden="1">
              <a:extLst>
                <a:ext uri="{63B3BB69-23CF-44E3-9099-C40C66FF867C}">
                  <a14:compatExt spid="_x0000_s1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14" name="Button 190" hidden="1">
              <a:extLst>
                <a:ext uri="{63B3BB69-23CF-44E3-9099-C40C66FF867C}">
                  <a14:compatExt spid="_x0000_s1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15" name="Button 191" hidden="1">
              <a:extLst>
                <a:ext uri="{63B3BB69-23CF-44E3-9099-C40C66FF867C}">
                  <a14:compatExt spid="_x0000_s1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16" name="Button 192" hidden="1">
              <a:extLst>
                <a:ext uri="{63B3BB69-23CF-44E3-9099-C40C66FF867C}">
                  <a14:compatExt spid="_x0000_s1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17" name="Button 193" hidden="1">
              <a:extLst>
                <a:ext uri="{63B3BB69-23CF-44E3-9099-C40C66FF867C}">
                  <a14:compatExt spid="_x0000_s1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18" name="Button 194" hidden="1">
              <a:extLst>
                <a:ext uri="{63B3BB69-23CF-44E3-9099-C40C66FF867C}">
                  <a14:compatExt spid="_x0000_s1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19" name="Button 195" hidden="1">
              <a:extLst>
                <a:ext uri="{63B3BB69-23CF-44E3-9099-C40C66FF867C}">
                  <a14:compatExt spid="_x0000_s1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20" name="Button 196" hidden="1">
              <a:extLst>
                <a:ext uri="{63B3BB69-23CF-44E3-9099-C40C66FF867C}">
                  <a14:compatExt spid="_x0000_s1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21" name="Button 197" hidden="1">
              <a:extLst>
                <a:ext uri="{63B3BB69-23CF-44E3-9099-C40C66FF867C}">
                  <a14:compatExt spid="_x0000_s1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22" name="Button 198" hidden="1">
              <a:extLst>
                <a:ext uri="{63B3BB69-23CF-44E3-9099-C40C66FF867C}">
                  <a14:compatExt spid="_x0000_s1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23" name="Button 199" hidden="1">
              <a:extLst>
                <a:ext uri="{63B3BB69-23CF-44E3-9099-C40C66FF867C}">
                  <a14:compatExt spid="_x0000_s1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24" name="Button 200" hidden="1">
              <a:extLst>
                <a:ext uri="{63B3BB69-23CF-44E3-9099-C40C66FF867C}">
                  <a14:compatExt spid="_x0000_s1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25" name="Button 201" hidden="1">
              <a:extLst>
                <a:ext uri="{63B3BB69-23CF-44E3-9099-C40C66FF867C}">
                  <a14:compatExt spid="_x0000_s1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26" name="Button 202" hidden="1">
              <a:extLst>
                <a:ext uri="{63B3BB69-23CF-44E3-9099-C40C66FF867C}">
                  <a14:compatExt spid="_x0000_s1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27" name="Button 203" hidden="1">
              <a:extLst>
                <a:ext uri="{63B3BB69-23CF-44E3-9099-C40C66FF867C}">
                  <a14:compatExt spid="_x0000_s1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28" name="Button 204" hidden="1">
              <a:extLst>
                <a:ext uri="{63B3BB69-23CF-44E3-9099-C40C66FF867C}">
                  <a14:compatExt spid="_x0000_s1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29" name="Button 205" hidden="1">
              <a:extLst>
                <a:ext uri="{63B3BB69-23CF-44E3-9099-C40C66FF867C}">
                  <a14:compatExt spid="_x0000_s1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30" name="Button 206" hidden="1">
              <a:extLst>
                <a:ext uri="{63B3BB69-23CF-44E3-9099-C40C66FF867C}">
                  <a14:compatExt spid="_x0000_s1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31" name="Button 207" hidden="1">
              <a:extLst>
                <a:ext uri="{63B3BB69-23CF-44E3-9099-C40C66FF867C}">
                  <a14:compatExt spid="_x0000_s1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38" name="Button 314" hidden="1">
              <a:extLst>
                <a:ext uri="{63B3BB69-23CF-44E3-9099-C40C66FF867C}">
                  <a14:compatExt spid="_x0000_s1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41" name="Button 317" hidden="1">
              <a:extLst>
                <a:ext uri="{63B3BB69-23CF-44E3-9099-C40C66FF867C}">
                  <a14:compatExt spid="_x0000_s13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44" name="Button 320" hidden="1">
              <a:extLst>
                <a:ext uri="{63B3BB69-23CF-44E3-9099-C40C66FF867C}">
                  <a14:compatExt spid="_x0000_s13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46" name="Button 322" hidden="1">
              <a:extLst>
                <a:ext uri="{63B3BB69-23CF-44E3-9099-C40C66FF867C}">
                  <a14:compatExt spid="_x0000_s1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50" name="Button 326" hidden="1">
              <a:extLst>
                <a:ext uri="{63B3BB69-23CF-44E3-9099-C40C66FF867C}">
                  <a14:compatExt spid="_x0000_s13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351" name="Button 327" hidden="1">
              <a:extLst>
                <a:ext uri="{63B3BB69-23CF-44E3-9099-C40C66FF867C}">
                  <a14:compatExt spid="_x0000_s1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352" name="Button 328" hidden="1">
              <a:extLst>
                <a:ext uri="{63B3BB69-23CF-44E3-9099-C40C66FF867C}">
                  <a14:compatExt spid="_x0000_s13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354" name="Button 330" hidden="1">
              <a:extLst>
                <a:ext uri="{63B3BB69-23CF-44E3-9099-C40C66FF867C}">
                  <a14:compatExt spid="_x0000_s13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358" name="Button 334" hidden="1">
              <a:extLst>
                <a:ext uri="{63B3BB69-23CF-44E3-9099-C40C66FF867C}">
                  <a14:compatExt spid="_x0000_s13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359" name="Button 335" hidden="1">
              <a:extLst>
                <a:ext uri="{63B3BB69-23CF-44E3-9099-C40C66FF867C}">
                  <a14:compatExt spid="_x0000_s1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361" name="Button 337" hidden="1">
              <a:extLst>
                <a:ext uri="{63B3BB69-23CF-44E3-9099-C40C66FF867C}">
                  <a14:compatExt spid="_x0000_s1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362" name="Button 338" hidden="1">
              <a:extLst>
                <a:ext uri="{63B3BB69-23CF-44E3-9099-C40C66FF867C}">
                  <a14:compatExt spid="_x0000_s1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363" name="Button 339" hidden="1">
              <a:extLst>
                <a:ext uri="{63B3BB69-23CF-44E3-9099-C40C66FF867C}">
                  <a14:compatExt spid="_x0000_s13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364" name="Button 340" hidden="1">
              <a:extLst>
                <a:ext uri="{63B3BB69-23CF-44E3-9099-C40C66FF867C}">
                  <a14:compatExt spid="_x0000_s1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365" name="Button 341" hidden="1">
              <a:extLst>
                <a:ext uri="{63B3BB69-23CF-44E3-9099-C40C66FF867C}">
                  <a14:compatExt spid="_x0000_s13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366" name="Button 342" hidden="1">
              <a:extLst>
                <a:ext uri="{63B3BB69-23CF-44E3-9099-C40C66FF867C}">
                  <a14:compatExt spid="_x0000_s1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367" name="Button 343" hidden="1">
              <a:extLst>
                <a:ext uri="{63B3BB69-23CF-44E3-9099-C40C66FF867C}">
                  <a14:compatExt spid="_x0000_s1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458" name="Button 434" hidden="1">
              <a:extLst>
                <a:ext uri="{63B3BB69-23CF-44E3-9099-C40C66FF867C}">
                  <a14:compatExt spid="_x0000_s14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459" name="Button 435" hidden="1">
              <a:extLst>
                <a:ext uri="{63B3BB69-23CF-44E3-9099-C40C66FF867C}">
                  <a14:compatExt spid="_x0000_s1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460" name="Button 436" hidden="1">
              <a:extLst>
                <a:ext uri="{63B3BB69-23CF-44E3-9099-C40C66FF867C}">
                  <a14:compatExt spid="_x0000_s14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461" name="Button 437" hidden="1">
              <a:extLst>
                <a:ext uri="{63B3BB69-23CF-44E3-9099-C40C66FF867C}">
                  <a14:compatExt spid="_x0000_s14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462" name="Button 438" hidden="1">
              <a:extLst>
                <a:ext uri="{63B3BB69-23CF-44E3-9099-C40C66FF867C}">
                  <a14:compatExt spid="_x0000_s1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463" name="Button 439" hidden="1">
              <a:extLst>
                <a:ext uri="{63B3BB69-23CF-44E3-9099-C40C66FF867C}">
                  <a14:compatExt spid="_x0000_s14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464" name="Button 440" hidden="1">
              <a:extLst>
                <a:ext uri="{63B3BB69-23CF-44E3-9099-C40C66FF867C}">
                  <a14:compatExt spid="_x0000_s1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465" name="Button 441" hidden="1">
              <a:extLst>
                <a:ext uri="{63B3BB69-23CF-44E3-9099-C40C66FF867C}">
                  <a14:compatExt spid="_x0000_s14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466" name="Button 442" hidden="1">
              <a:extLst>
                <a:ext uri="{63B3BB69-23CF-44E3-9099-C40C66FF867C}">
                  <a14:compatExt spid="_x0000_s1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467" name="Button 443" hidden="1">
              <a:extLst>
                <a:ext uri="{63B3BB69-23CF-44E3-9099-C40C66FF867C}">
                  <a14:compatExt spid="_x0000_s14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468" name="Button 444" hidden="1">
              <a:extLst>
                <a:ext uri="{63B3BB69-23CF-44E3-9099-C40C66FF867C}">
                  <a14:compatExt spid="_x0000_s14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469" name="Button 445" hidden="1">
              <a:extLst>
                <a:ext uri="{63B3BB69-23CF-44E3-9099-C40C66FF867C}">
                  <a14:compatExt spid="_x0000_s1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470" name="Button 446" hidden="1">
              <a:extLst>
                <a:ext uri="{63B3BB69-23CF-44E3-9099-C40C66FF867C}">
                  <a14:compatExt spid="_x0000_s14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471" name="Button 447" hidden="1">
              <a:extLst>
                <a:ext uri="{63B3BB69-23CF-44E3-9099-C40C66FF867C}">
                  <a14:compatExt spid="_x0000_s14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472" name="Button 448" hidden="1">
              <a:extLst>
                <a:ext uri="{63B3BB69-23CF-44E3-9099-C40C66FF867C}">
                  <a14:compatExt spid="_x0000_s1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473" name="Button 449" hidden="1">
              <a:extLst>
                <a:ext uri="{63B3BB69-23CF-44E3-9099-C40C66FF867C}">
                  <a14:compatExt spid="_x0000_s14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474" name="Button 450" hidden="1">
              <a:extLst>
                <a:ext uri="{63B3BB69-23CF-44E3-9099-C40C66FF867C}">
                  <a14:compatExt spid="_x0000_s1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475" name="Button 451" hidden="1">
              <a:extLst>
                <a:ext uri="{63B3BB69-23CF-44E3-9099-C40C66FF867C}">
                  <a14:compatExt spid="_x0000_s14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476" name="Button 452" hidden="1">
              <a:extLst>
                <a:ext uri="{63B3BB69-23CF-44E3-9099-C40C66FF867C}">
                  <a14:compatExt spid="_x0000_s1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477" name="Button 453" hidden="1">
              <a:extLst>
                <a:ext uri="{63B3BB69-23CF-44E3-9099-C40C66FF867C}">
                  <a14:compatExt spid="_x0000_s14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478" name="Button 454" hidden="1">
              <a:extLst>
                <a:ext uri="{63B3BB69-23CF-44E3-9099-C40C66FF867C}">
                  <a14:compatExt spid="_x0000_s14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479" name="Button 455" hidden="1">
              <a:extLst>
                <a:ext uri="{63B3BB69-23CF-44E3-9099-C40C66FF867C}">
                  <a14:compatExt spid="_x0000_s1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480" name="Button 456" hidden="1">
              <a:extLst>
                <a:ext uri="{63B3BB69-23CF-44E3-9099-C40C66FF867C}">
                  <a14:compatExt spid="_x0000_s14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481" name="Button 457" hidden="1">
              <a:extLst>
                <a:ext uri="{63B3BB69-23CF-44E3-9099-C40C66FF867C}">
                  <a14:compatExt spid="_x0000_s1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482" name="Button 458" hidden="1">
              <a:extLst>
                <a:ext uri="{63B3BB69-23CF-44E3-9099-C40C66FF867C}">
                  <a14:compatExt spid="_x0000_s1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483" name="Button 459" hidden="1">
              <a:extLst>
                <a:ext uri="{63B3BB69-23CF-44E3-9099-C40C66FF867C}">
                  <a14:compatExt spid="_x0000_s1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484" name="Button 460" hidden="1">
              <a:extLst>
                <a:ext uri="{63B3BB69-23CF-44E3-9099-C40C66FF867C}">
                  <a14:compatExt spid="_x0000_s1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485" name="Button 461" hidden="1">
              <a:extLst>
                <a:ext uri="{63B3BB69-23CF-44E3-9099-C40C66FF867C}">
                  <a14:compatExt spid="_x0000_s1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486" name="Button 462" hidden="1">
              <a:extLst>
                <a:ext uri="{63B3BB69-23CF-44E3-9099-C40C66FF867C}">
                  <a14:compatExt spid="_x0000_s1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487" name="Button 463" hidden="1">
              <a:extLst>
                <a:ext uri="{63B3BB69-23CF-44E3-9099-C40C66FF867C}">
                  <a14:compatExt spid="_x0000_s1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488" name="Button 464" hidden="1">
              <a:extLst>
                <a:ext uri="{63B3BB69-23CF-44E3-9099-C40C66FF867C}">
                  <a14:compatExt spid="_x0000_s1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489" name="Button 465" hidden="1">
              <a:extLst>
                <a:ext uri="{63B3BB69-23CF-44E3-9099-C40C66FF867C}">
                  <a14:compatExt spid="_x0000_s1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490" name="Button 466" hidden="1">
              <a:extLst>
                <a:ext uri="{63B3BB69-23CF-44E3-9099-C40C66FF867C}">
                  <a14:compatExt spid="_x0000_s1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491" name="Button 467" hidden="1">
              <a:extLst>
                <a:ext uri="{63B3BB69-23CF-44E3-9099-C40C66FF867C}">
                  <a14:compatExt spid="_x0000_s1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492" name="Button 468" hidden="1">
              <a:extLst>
                <a:ext uri="{63B3BB69-23CF-44E3-9099-C40C66FF867C}">
                  <a14:compatExt spid="_x0000_s1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493" name="Button 469" hidden="1">
              <a:extLst>
                <a:ext uri="{63B3BB69-23CF-44E3-9099-C40C66FF867C}">
                  <a14:compatExt spid="_x0000_s1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494" name="Button 470" hidden="1">
              <a:extLst>
                <a:ext uri="{63B3BB69-23CF-44E3-9099-C40C66FF867C}">
                  <a14:compatExt spid="_x0000_s1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495" name="Button 471" hidden="1">
              <a:extLst>
                <a:ext uri="{63B3BB69-23CF-44E3-9099-C40C66FF867C}">
                  <a14:compatExt spid="_x0000_s14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496" name="Button 472" hidden="1">
              <a:extLst>
                <a:ext uri="{63B3BB69-23CF-44E3-9099-C40C66FF867C}">
                  <a14:compatExt spid="_x0000_s1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497" name="Button 473" hidden="1">
              <a:extLst>
                <a:ext uri="{63B3BB69-23CF-44E3-9099-C40C66FF867C}">
                  <a14:compatExt spid="_x0000_s14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498" name="Button 474" hidden="1">
              <a:extLst>
                <a:ext uri="{63B3BB69-23CF-44E3-9099-C40C66FF867C}">
                  <a14:compatExt spid="_x0000_s1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499" name="Button 475" hidden="1">
              <a:extLst>
                <a:ext uri="{63B3BB69-23CF-44E3-9099-C40C66FF867C}">
                  <a14:compatExt spid="_x0000_s1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500" name="Button 476" hidden="1">
              <a:extLst>
                <a:ext uri="{63B3BB69-23CF-44E3-9099-C40C66FF867C}">
                  <a14:compatExt spid="_x0000_s1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501" name="Button 477" hidden="1">
              <a:extLst>
                <a:ext uri="{63B3BB69-23CF-44E3-9099-C40C66FF867C}">
                  <a14:compatExt spid="_x0000_s1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502" name="Button 478" hidden="1">
              <a:extLst>
                <a:ext uri="{63B3BB69-23CF-44E3-9099-C40C66FF867C}">
                  <a14:compatExt spid="_x0000_s1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503" name="Button 479" hidden="1">
              <a:extLst>
                <a:ext uri="{63B3BB69-23CF-44E3-9099-C40C66FF867C}">
                  <a14:compatExt spid="_x0000_s1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504" name="Button 480" hidden="1">
              <a:extLst>
                <a:ext uri="{63B3BB69-23CF-44E3-9099-C40C66FF867C}">
                  <a14:compatExt spid="_x0000_s15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505" name="Button 481" hidden="1">
              <a:extLst>
                <a:ext uri="{63B3BB69-23CF-44E3-9099-C40C66FF867C}">
                  <a14:compatExt spid="_x0000_s1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506" name="Button 482" hidden="1">
              <a:extLst>
                <a:ext uri="{63B3BB69-23CF-44E3-9099-C40C66FF867C}">
                  <a14:compatExt spid="_x0000_s1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507" name="Button 483" hidden="1">
              <a:extLst>
                <a:ext uri="{63B3BB69-23CF-44E3-9099-C40C66FF867C}">
                  <a14:compatExt spid="_x0000_s1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508" name="Button 484" hidden="1">
              <a:extLst>
                <a:ext uri="{63B3BB69-23CF-44E3-9099-C40C66FF867C}">
                  <a14:compatExt spid="_x0000_s1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509" name="Button 485" hidden="1">
              <a:extLst>
                <a:ext uri="{63B3BB69-23CF-44E3-9099-C40C66FF867C}">
                  <a14:compatExt spid="_x0000_s1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510" name="Button 486" hidden="1">
              <a:extLst>
                <a:ext uri="{63B3BB69-23CF-44E3-9099-C40C66FF867C}">
                  <a14:compatExt spid="_x0000_s1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511" name="Button 487" hidden="1">
              <a:extLst>
                <a:ext uri="{63B3BB69-23CF-44E3-9099-C40C66FF867C}">
                  <a14:compatExt spid="_x0000_s1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512" name="Button 488" hidden="1">
              <a:extLst>
                <a:ext uri="{63B3BB69-23CF-44E3-9099-C40C66FF867C}">
                  <a14:compatExt spid="_x0000_s1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513" name="Button 489" hidden="1">
              <a:extLst>
                <a:ext uri="{63B3BB69-23CF-44E3-9099-C40C66FF867C}">
                  <a14:compatExt spid="_x0000_s1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514" name="Button 490" hidden="1">
              <a:extLst>
                <a:ext uri="{63B3BB69-23CF-44E3-9099-C40C66FF867C}">
                  <a14:compatExt spid="_x0000_s1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515" name="Button 491" hidden="1">
              <a:extLst>
                <a:ext uri="{63B3BB69-23CF-44E3-9099-C40C66FF867C}">
                  <a14:compatExt spid="_x0000_s1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516" name="Button 492" hidden="1">
              <a:extLst>
                <a:ext uri="{63B3BB69-23CF-44E3-9099-C40C66FF867C}">
                  <a14:compatExt spid="_x0000_s1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517" name="Button 493" hidden="1">
              <a:extLst>
                <a:ext uri="{63B3BB69-23CF-44E3-9099-C40C66FF867C}">
                  <a14:compatExt spid="_x0000_s1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518" name="Button 494" hidden="1">
              <a:extLst>
                <a:ext uri="{63B3BB69-23CF-44E3-9099-C40C66FF867C}">
                  <a14:compatExt spid="_x0000_s1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519" name="Button 495" hidden="1">
              <a:extLst>
                <a:ext uri="{63B3BB69-23CF-44E3-9099-C40C66FF867C}">
                  <a14:compatExt spid="_x0000_s1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520" name="Button 496" hidden="1">
              <a:extLst>
                <a:ext uri="{63B3BB69-23CF-44E3-9099-C40C66FF867C}">
                  <a14:compatExt spid="_x0000_s1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521" name="Button 497" hidden="1">
              <a:extLst>
                <a:ext uri="{63B3BB69-23CF-44E3-9099-C40C66FF867C}">
                  <a14:compatExt spid="_x0000_s1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522" name="Button 498" hidden="1">
              <a:extLst>
                <a:ext uri="{63B3BB69-23CF-44E3-9099-C40C66FF867C}">
                  <a14:compatExt spid="_x0000_s1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523" name="Button 499" hidden="1">
              <a:extLst>
                <a:ext uri="{63B3BB69-23CF-44E3-9099-C40C66FF867C}">
                  <a14:compatExt spid="_x0000_s1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524" name="Button 500" hidden="1">
              <a:extLst>
                <a:ext uri="{63B3BB69-23CF-44E3-9099-C40C66FF867C}">
                  <a14:compatExt spid="_x0000_s15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525" name="Button 501" hidden="1">
              <a:extLst>
                <a:ext uri="{63B3BB69-23CF-44E3-9099-C40C66FF867C}">
                  <a14:compatExt spid="_x0000_s1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526" name="Button 502" hidden="1">
              <a:extLst>
                <a:ext uri="{63B3BB69-23CF-44E3-9099-C40C66FF867C}">
                  <a14:compatExt spid="_x0000_s15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527" name="Button 503" hidden="1">
              <a:extLst>
                <a:ext uri="{63B3BB69-23CF-44E3-9099-C40C66FF867C}">
                  <a14:compatExt spid="_x0000_s1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528" name="Button 504" hidden="1">
              <a:extLst>
                <a:ext uri="{63B3BB69-23CF-44E3-9099-C40C66FF867C}">
                  <a14:compatExt spid="_x0000_s1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529" name="Button 505" hidden="1">
              <a:extLst>
                <a:ext uri="{63B3BB69-23CF-44E3-9099-C40C66FF867C}">
                  <a14:compatExt spid="_x0000_s1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530" name="Button 506" hidden="1">
              <a:extLst>
                <a:ext uri="{63B3BB69-23CF-44E3-9099-C40C66FF867C}">
                  <a14:compatExt spid="_x0000_s1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531" name="Button 507" hidden="1">
              <a:extLst>
                <a:ext uri="{63B3BB69-23CF-44E3-9099-C40C66FF867C}">
                  <a14:compatExt spid="_x0000_s15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532" name="Button 508" hidden="1">
              <a:extLst>
                <a:ext uri="{63B3BB69-23CF-44E3-9099-C40C66FF867C}">
                  <a14:compatExt spid="_x0000_s1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533" name="Button 509" hidden="1">
              <a:extLst>
                <a:ext uri="{63B3BB69-23CF-44E3-9099-C40C66FF867C}">
                  <a14:compatExt spid="_x0000_s15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534" name="Button 510" hidden="1">
              <a:extLst>
                <a:ext uri="{63B3BB69-23CF-44E3-9099-C40C66FF867C}">
                  <a14:compatExt spid="_x0000_s1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535" name="Button 511" hidden="1">
              <a:extLst>
                <a:ext uri="{63B3BB69-23CF-44E3-9099-C40C66FF867C}">
                  <a14:compatExt spid="_x0000_s1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536" name="Button 512" hidden="1">
              <a:extLst>
                <a:ext uri="{63B3BB69-23CF-44E3-9099-C40C66FF867C}">
                  <a14:compatExt spid="_x0000_s1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537" name="Button 513" hidden="1">
              <a:extLst>
                <a:ext uri="{63B3BB69-23CF-44E3-9099-C40C66FF867C}">
                  <a14:compatExt spid="_x0000_s1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538" name="Button 514" hidden="1">
              <a:extLst>
                <a:ext uri="{63B3BB69-23CF-44E3-9099-C40C66FF867C}">
                  <a14:compatExt spid="_x0000_s1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539" name="Button 515" hidden="1">
              <a:extLst>
                <a:ext uri="{63B3BB69-23CF-44E3-9099-C40C66FF867C}">
                  <a14:compatExt spid="_x0000_s1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540" name="Button 516" hidden="1">
              <a:extLst>
                <a:ext uri="{63B3BB69-23CF-44E3-9099-C40C66FF867C}">
                  <a14:compatExt spid="_x0000_s1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541" name="Button 517" hidden="1">
              <a:extLst>
                <a:ext uri="{63B3BB69-23CF-44E3-9099-C40C66FF867C}">
                  <a14:compatExt spid="_x0000_s1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542" name="Button 518" hidden="1">
              <a:extLst>
                <a:ext uri="{63B3BB69-23CF-44E3-9099-C40C66FF867C}">
                  <a14:compatExt spid="_x0000_s1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543" name="Button 519" hidden="1">
              <a:extLst>
                <a:ext uri="{63B3BB69-23CF-44E3-9099-C40C66FF867C}">
                  <a14:compatExt spid="_x0000_s1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544" name="Button 520" hidden="1">
              <a:extLst>
                <a:ext uri="{63B3BB69-23CF-44E3-9099-C40C66FF867C}">
                  <a14:compatExt spid="_x0000_s1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545" name="Button 521" hidden="1">
              <a:extLst>
                <a:ext uri="{63B3BB69-23CF-44E3-9099-C40C66FF867C}">
                  <a14:compatExt spid="_x0000_s1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546" name="Button 522" hidden="1">
              <a:extLst>
                <a:ext uri="{63B3BB69-23CF-44E3-9099-C40C66FF867C}">
                  <a14:compatExt spid="_x0000_s1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547" name="Button 523" hidden="1">
              <a:extLst>
                <a:ext uri="{63B3BB69-23CF-44E3-9099-C40C66FF867C}">
                  <a14:compatExt spid="_x0000_s1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548" name="Button 524" hidden="1">
              <a:extLst>
                <a:ext uri="{63B3BB69-23CF-44E3-9099-C40C66FF867C}">
                  <a14:compatExt spid="_x0000_s1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549" name="Button 525" hidden="1">
              <a:extLst>
                <a:ext uri="{63B3BB69-23CF-44E3-9099-C40C66FF867C}">
                  <a14:compatExt spid="_x0000_s1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550" name="Button 526" hidden="1">
              <a:extLst>
                <a:ext uri="{63B3BB69-23CF-44E3-9099-C40C66FF867C}">
                  <a14:compatExt spid="_x0000_s1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551" name="Button 527" hidden="1">
              <a:extLst>
                <a:ext uri="{63B3BB69-23CF-44E3-9099-C40C66FF867C}">
                  <a14:compatExt spid="_x0000_s1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552" name="Button 528" hidden="1">
              <a:extLst>
                <a:ext uri="{63B3BB69-23CF-44E3-9099-C40C66FF867C}">
                  <a14:compatExt spid="_x0000_s15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553" name="Button 529" hidden="1">
              <a:extLst>
                <a:ext uri="{63B3BB69-23CF-44E3-9099-C40C66FF867C}">
                  <a14:compatExt spid="_x0000_s1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554" name="Button 530" hidden="1">
              <a:extLst>
                <a:ext uri="{63B3BB69-23CF-44E3-9099-C40C66FF867C}">
                  <a14:compatExt spid="_x0000_s15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555" name="Button 531" hidden="1">
              <a:extLst>
                <a:ext uri="{63B3BB69-23CF-44E3-9099-C40C66FF867C}">
                  <a14:compatExt spid="_x0000_s1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556" name="Button 532" hidden="1">
              <a:extLst>
                <a:ext uri="{63B3BB69-23CF-44E3-9099-C40C66FF867C}">
                  <a14:compatExt spid="_x0000_s1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557" name="Button 533" hidden="1">
              <a:extLst>
                <a:ext uri="{63B3BB69-23CF-44E3-9099-C40C66FF867C}">
                  <a14:compatExt spid="_x0000_s1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558" name="Button 534" hidden="1">
              <a:extLst>
                <a:ext uri="{63B3BB69-23CF-44E3-9099-C40C66FF867C}">
                  <a14:compatExt spid="_x0000_s1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559" name="Button 535" hidden="1">
              <a:extLst>
                <a:ext uri="{63B3BB69-23CF-44E3-9099-C40C66FF867C}">
                  <a14:compatExt spid="_x0000_s15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560" name="Button 536" hidden="1">
              <a:extLst>
                <a:ext uri="{63B3BB69-23CF-44E3-9099-C40C66FF867C}">
                  <a14:compatExt spid="_x0000_s1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561" name="Button 537" hidden="1">
              <a:extLst>
                <a:ext uri="{63B3BB69-23CF-44E3-9099-C40C66FF867C}">
                  <a14:compatExt spid="_x0000_s15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562" name="Button 538" hidden="1">
              <a:extLst>
                <a:ext uri="{63B3BB69-23CF-44E3-9099-C40C66FF867C}">
                  <a14:compatExt spid="_x0000_s1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563" name="Button 539" hidden="1">
              <a:extLst>
                <a:ext uri="{63B3BB69-23CF-44E3-9099-C40C66FF867C}">
                  <a14:compatExt spid="_x0000_s1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564" name="Button 540" hidden="1">
              <a:extLst>
                <a:ext uri="{63B3BB69-23CF-44E3-9099-C40C66FF867C}">
                  <a14:compatExt spid="_x0000_s15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565" name="Button 541" hidden="1">
              <a:extLst>
                <a:ext uri="{63B3BB69-23CF-44E3-9099-C40C66FF867C}">
                  <a14:compatExt spid="_x0000_s1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566" name="Button 542" hidden="1">
              <a:extLst>
                <a:ext uri="{63B3BB69-23CF-44E3-9099-C40C66FF867C}">
                  <a14:compatExt spid="_x0000_s15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567" name="Button 543" hidden="1">
              <a:extLst>
                <a:ext uri="{63B3BB69-23CF-44E3-9099-C40C66FF867C}">
                  <a14:compatExt spid="_x0000_s15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568" name="Button 544" hidden="1">
              <a:extLst>
                <a:ext uri="{63B3BB69-23CF-44E3-9099-C40C66FF867C}">
                  <a14:compatExt spid="_x0000_s1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569" name="Button 545" hidden="1">
              <a:extLst>
                <a:ext uri="{63B3BB69-23CF-44E3-9099-C40C66FF867C}">
                  <a14:compatExt spid="_x0000_s15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570" name="Button 546" hidden="1">
              <a:extLst>
                <a:ext uri="{63B3BB69-23CF-44E3-9099-C40C66FF867C}">
                  <a14:compatExt spid="_x0000_s1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571" name="Button 547" hidden="1">
              <a:extLst>
                <a:ext uri="{63B3BB69-23CF-44E3-9099-C40C66FF867C}">
                  <a14:compatExt spid="_x0000_s15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572" name="Button 548" hidden="1">
              <a:extLst>
                <a:ext uri="{63B3BB69-23CF-44E3-9099-C40C66FF867C}">
                  <a14:compatExt spid="_x0000_s1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573" name="Button 549" hidden="1">
              <a:extLst>
                <a:ext uri="{63B3BB69-23CF-44E3-9099-C40C66FF867C}">
                  <a14:compatExt spid="_x0000_s15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574" name="Button 550" hidden="1">
              <a:extLst>
                <a:ext uri="{63B3BB69-23CF-44E3-9099-C40C66FF867C}">
                  <a14:compatExt spid="_x0000_s1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575" name="Button 551" hidden="1">
              <a:extLst>
                <a:ext uri="{63B3BB69-23CF-44E3-9099-C40C66FF867C}">
                  <a14:compatExt spid="_x0000_s15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576" name="Button 552" hidden="1">
              <a:extLst>
                <a:ext uri="{63B3BB69-23CF-44E3-9099-C40C66FF867C}">
                  <a14:compatExt spid="_x0000_s1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577" name="Button 553" hidden="1">
              <a:extLst>
                <a:ext uri="{63B3BB69-23CF-44E3-9099-C40C66FF867C}">
                  <a14:compatExt spid="_x0000_s15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578" name="Button 554" hidden="1">
              <a:extLst>
                <a:ext uri="{63B3BB69-23CF-44E3-9099-C40C66FF867C}">
                  <a14:compatExt spid="_x0000_s15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579" name="Button 555" hidden="1">
              <a:extLst>
                <a:ext uri="{63B3BB69-23CF-44E3-9099-C40C66FF867C}">
                  <a14:compatExt spid="_x0000_s1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580" name="Button 556" hidden="1">
              <a:extLst>
                <a:ext uri="{63B3BB69-23CF-44E3-9099-C40C66FF867C}">
                  <a14:compatExt spid="_x0000_s15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581" name="Button 557" hidden="1">
              <a:extLst>
                <a:ext uri="{63B3BB69-23CF-44E3-9099-C40C66FF867C}">
                  <a14:compatExt spid="_x0000_s15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582" name="Button 558" hidden="1">
              <a:extLst>
                <a:ext uri="{63B3BB69-23CF-44E3-9099-C40C66FF867C}">
                  <a14:compatExt spid="_x0000_s1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583" name="Button 559" hidden="1">
              <a:extLst>
                <a:ext uri="{63B3BB69-23CF-44E3-9099-C40C66FF867C}">
                  <a14:compatExt spid="_x0000_s15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584" name="Button 560" hidden="1">
              <a:extLst>
                <a:ext uri="{63B3BB69-23CF-44E3-9099-C40C66FF867C}">
                  <a14:compatExt spid="_x0000_s15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585" name="Button 561" hidden="1">
              <a:extLst>
                <a:ext uri="{63B3BB69-23CF-44E3-9099-C40C66FF867C}">
                  <a14:compatExt spid="_x0000_s1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586" name="Button 562" hidden="1">
              <a:extLst>
                <a:ext uri="{63B3BB69-23CF-44E3-9099-C40C66FF867C}">
                  <a14:compatExt spid="_x0000_s15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587" name="Button 563" hidden="1">
              <a:extLst>
                <a:ext uri="{63B3BB69-23CF-44E3-9099-C40C66FF867C}">
                  <a14:compatExt spid="_x0000_s15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588" name="Button 564" hidden="1">
              <a:extLst>
                <a:ext uri="{63B3BB69-23CF-44E3-9099-C40C66FF867C}">
                  <a14:compatExt spid="_x0000_s1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589" name="Button 565" hidden="1">
              <a:extLst>
                <a:ext uri="{63B3BB69-23CF-44E3-9099-C40C66FF867C}">
                  <a14:compatExt spid="_x0000_s15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590" name="Button 566" hidden="1">
              <a:extLst>
                <a:ext uri="{63B3BB69-23CF-44E3-9099-C40C66FF867C}">
                  <a14:compatExt spid="_x0000_s1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1591" name="Button 567" hidden="1">
              <a:extLst>
                <a:ext uri="{63B3BB69-23CF-44E3-9099-C40C66FF867C}">
                  <a14:compatExt spid="_x0000_s15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592" name="Button 568" hidden="1">
              <a:extLst>
                <a:ext uri="{63B3BB69-23CF-44E3-9099-C40C66FF867C}">
                  <a14:compatExt spid="_x0000_s1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593" name="Button 569" hidden="1">
              <a:extLst>
                <a:ext uri="{63B3BB69-23CF-44E3-9099-C40C66FF867C}">
                  <a14:compatExt spid="_x0000_s15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594" name="Button 570" hidden="1">
              <a:extLst>
                <a:ext uri="{63B3BB69-23CF-44E3-9099-C40C66FF867C}">
                  <a14:compatExt spid="_x0000_s15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595" name="Button 571" hidden="1">
              <a:extLst>
                <a:ext uri="{63B3BB69-23CF-44E3-9099-C40C66FF867C}">
                  <a14:compatExt spid="_x0000_s1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596" name="Button 572" hidden="1">
              <a:extLst>
                <a:ext uri="{63B3BB69-23CF-44E3-9099-C40C66FF867C}">
                  <a14:compatExt spid="_x0000_s15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597" name="Button 573" hidden="1">
              <a:extLst>
                <a:ext uri="{63B3BB69-23CF-44E3-9099-C40C66FF867C}">
                  <a14:compatExt spid="_x0000_s1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598" name="Button 574" hidden="1">
              <a:extLst>
                <a:ext uri="{63B3BB69-23CF-44E3-9099-C40C66FF867C}">
                  <a14:compatExt spid="_x0000_s1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599" name="Button 575" hidden="1">
              <a:extLst>
                <a:ext uri="{63B3BB69-23CF-44E3-9099-C40C66FF867C}">
                  <a14:compatExt spid="_x0000_s1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600" name="Button 576" hidden="1">
              <a:extLst>
                <a:ext uri="{63B3BB69-23CF-44E3-9099-C40C66FF867C}">
                  <a14:compatExt spid="_x0000_s1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601" name="Button 577" hidden="1">
              <a:extLst>
                <a:ext uri="{63B3BB69-23CF-44E3-9099-C40C66FF867C}">
                  <a14:compatExt spid="_x0000_s1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602" name="Button 578" hidden="1">
              <a:extLst>
                <a:ext uri="{63B3BB69-23CF-44E3-9099-C40C66FF867C}">
                  <a14:compatExt spid="_x0000_s16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603" name="Button 579" hidden="1">
              <a:extLst>
                <a:ext uri="{63B3BB69-23CF-44E3-9099-C40C66FF867C}">
                  <a14:compatExt spid="_x0000_s1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604" name="Button 580" hidden="1">
              <a:extLst>
                <a:ext uri="{63B3BB69-23CF-44E3-9099-C40C66FF867C}">
                  <a14:compatExt spid="_x0000_s16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605" name="Button 581" hidden="1">
              <a:extLst>
                <a:ext uri="{63B3BB69-23CF-44E3-9099-C40C66FF867C}">
                  <a14:compatExt spid="_x0000_s16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606" name="Button 582" hidden="1">
              <a:extLst>
                <a:ext uri="{63B3BB69-23CF-44E3-9099-C40C66FF867C}">
                  <a14:compatExt spid="_x0000_s1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607" name="Button 583" hidden="1">
              <a:extLst>
                <a:ext uri="{63B3BB69-23CF-44E3-9099-C40C66FF867C}">
                  <a14:compatExt spid="_x0000_s16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608" name="Button 584" hidden="1">
              <a:extLst>
                <a:ext uri="{63B3BB69-23CF-44E3-9099-C40C66FF867C}">
                  <a14:compatExt spid="_x0000_s16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609" name="Button 585" hidden="1">
              <a:extLst>
                <a:ext uri="{63B3BB69-23CF-44E3-9099-C40C66FF867C}">
                  <a14:compatExt spid="_x0000_s1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610" name="Button 586" hidden="1">
              <a:extLst>
                <a:ext uri="{63B3BB69-23CF-44E3-9099-C40C66FF867C}">
                  <a14:compatExt spid="_x0000_s16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611" name="Button 587" hidden="1">
              <a:extLst>
                <a:ext uri="{63B3BB69-23CF-44E3-9099-C40C66FF867C}">
                  <a14:compatExt spid="_x0000_s16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612" name="Button 588" hidden="1">
              <a:extLst>
                <a:ext uri="{63B3BB69-23CF-44E3-9099-C40C66FF867C}">
                  <a14:compatExt spid="_x0000_s1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613" name="Button 589" hidden="1">
              <a:extLst>
                <a:ext uri="{63B3BB69-23CF-44E3-9099-C40C66FF867C}">
                  <a14:compatExt spid="_x0000_s16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614" name="Button 590" hidden="1">
              <a:extLst>
                <a:ext uri="{63B3BB69-23CF-44E3-9099-C40C66FF867C}">
                  <a14:compatExt spid="_x0000_s1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615" name="Button 591" hidden="1">
              <a:extLst>
                <a:ext uri="{63B3BB69-23CF-44E3-9099-C40C66FF867C}">
                  <a14:compatExt spid="_x0000_s16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616" name="Button 592" hidden="1">
              <a:extLst>
                <a:ext uri="{63B3BB69-23CF-44E3-9099-C40C66FF867C}">
                  <a14:compatExt spid="_x0000_s1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617" name="Button 593" hidden="1">
              <a:extLst>
                <a:ext uri="{63B3BB69-23CF-44E3-9099-C40C66FF867C}">
                  <a14:compatExt spid="_x0000_s16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618" name="Button 594" hidden="1">
              <a:extLst>
                <a:ext uri="{63B3BB69-23CF-44E3-9099-C40C66FF867C}">
                  <a14:compatExt spid="_x0000_s1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619" name="Button 595" hidden="1">
              <a:extLst>
                <a:ext uri="{63B3BB69-23CF-44E3-9099-C40C66FF867C}">
                  <a14:compatExt spid="_x0000_s1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620" name="Button 596" hidden="1">
              <a:extLst>
                <a:ext uri="{63B3BB69-23CF-44E3-9099-C40C66FF867C}">
                  <a14:compatExt spid="_x0000_s1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621" name="Button 597" hidden="1">
              <a:extLst>
                <a:ext uri="{63B3BB69-23CF-44E3-9099-C40C66FF867C}">
                  <a14:compatExt spid="_x0000_s16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622" name="Button 598" hidden="1">
              <a:extLst>
                <a:ext uri="{63B3BB69-23CF-44E3-9099-C40C66FF867C}">
                  <a14:compatExt spid="_x0000_s1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623" name="Button 599" hidden="1">
              <a:extLst>
                <a:ext uri="{63B3BB69-23CF-44E3-9099-C40C66FF867C}">
                  <a14:compatExt spid="_x0000_s16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624" name="Button 600" hidden="1">
              <a:extLst>
                <a:ext uri="{63B3BB69-23CF-44E3-9099-C40C66FF867C}">
                  <a14:compatExt spid="_x0000_s16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625" name="Button 601" hidden="1">
              <a:extLst>
                <a:ext uri="{63B3BB69-23CF-44E3-9099-C40C66FF867C}">
                  <a14:compatExt spid="_x0000_s1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626" name="Button 602" hidden="1">
              <a:extLst>
                <a:ext uri="{63B3BB69-23CF-44E3-9099-C40C66FF867C}">
                  <a14:compatExt spid="_x0000_s16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627" name="Button 603" hidden="1">
              <a:extLst>
                <a:ext uri="{63B3BB69-23CF-44E3-9099-C40C66FF867C}">
                  <a14:compatExt spid="_x0000_s16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628" name="Button 604" hidden="1">
              <a:extLst>
                <a:ext uri="{63B3BB69-23CF-44E3-9099-C40C66FF867C}">
                  <a14:compatExt spid="_x0000_s1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629" name="Button 605" hidden="1">
              <a:extLst>
                <a:ext uri="{63B3BB69-23CF-44E3-9099-C40C66FF867C}">
                  <a14:compatExt spid="_x0000_s16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630" name="Button 606" hidden="1">
              <a:extLst>
                <a:ext uri="{63B3BB69-23CF-44E3-9099-C40C66FF867C}">
                  <a14:compatExt spid="_x0000_s1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631" name="Button 607" hidden="1">
              <a:extLst>
                <a:ext uri="{63B3BB69-23CF-44E3-9099-C40C66FF867C}">
                  <a14:compatExt spid="_x0000_s16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632" name="Button 608" hidden="1">
              <a:extLst>
                <a:ext uri="{63B3BB69-23CF-44E3-9099-C40C66FF867C}">
                  <a14:compatExt spid="_x0000_s1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633" name="Button 609" hidden="1">
              <a:extLst>
                <a:ext uri="{63B3BB69-23CF-44E3-9099-C40C66FF867C}">
                  <a14:compatExt spid="_x0000_s16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634" name="Button 610" hidden="1">
              <a:extLst>
                <a:ext uri="{63B3BB69-23CF-44E3-9099-C40C66FF867C}">
                  <a14:compatExt spid="_x0000_s1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635" name="Button 611" hidden="1">
              <a:extLst>
                <a:ext uri="{63B3BB69-23CF-44E3-9099-C40C66FF867C}">
                  <a14:compatExt spid="_x0000_s1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636" name="Button 612" hidden="1">
              <a:extLst>
                <a:ext uri="{63B3BB69-23CF-44E3-9099-C40C66FF867C}">
                  <a14:compatExt spid="_x0000_s16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637" name="Button 613" hidden="1">
              <a:extLst>
                <a:ext uri="{63B3BB69-23CF-44E3-9099-C40C66FF867C}">
                  <a14:compatExt spid="_x0000_s1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638" name="Button 614" hidden="1">
              <a:extLst>
                <a:ext uri="{63B3BB69-23CF-44E3-9099-C40C66FF867C}">
                  <a14:compatExt spid="_x0000_s16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639" name="Button 615" hidden="1">
              <a:extLst>
                <a:ext uri="{63B3BB69-23CF-44E3-9099-C40C66FF867C}">
                  <a14:compatExt spid="_x0000_s16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640" name="Button 616" hidden="1">
              <a:extLst>
                <a:ext uri="{63B3BB69-23CF-44E3-9099-C40C66FF867C}">
                  <a14:compatExt spid="_x0000_s1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641" name="Button 617" hidden="1">
              <a:extLst>
                <a:ext uri="{63B3BB69-23CF-44E3-9099-C40C66FF867C}">
                  <a14:compatExt spid="_x0000_s16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642" name="Button 618" hidden="1">
              <a:extLst>
                <a:ext uri="{63B3BB69-23CF-44E3-9099-C40C66FF867C}">
                  <a14:compatExt spid="_x0000_s16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643" name="Button 619" hidden="1">
              <a:extLst>
                <a:ext uri="{63B3BB69-23CF-44E3-9099-C40C66FF867C}">
                  <a14:compatExt spid="_x0000_s1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644" name="Button 620" hidden="1">
              <a:extLst>
                <a:ext uri="{63B3BB69-23CF-44E3-9099-C40C66FF867C}">
                  <a14:compatExt spid="_x0000_s16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645" name="Button 621" hidden="1">
              <a:extLst>
                <a:ext uri="{63B3BB69-23CF-44E3-9099-C40C66FF867C}">
                  <a14:compatExt spid="_x0000_s1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646" name="Button 622" hidden="1">
              <a:extLst>
                <a:ext uri="{63B3BB69-23CF-44E3-9099-C40C66FF867C}">
                  <a14:compatExt spid="_x0000_s16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647" name="Button 623" hidden="1">
              <a:extLst>
                <a:ext uri="{63B3BB69-23CF-44E3-9099-C40C66FF867C}">
                  <a14:compatExt spid="_x0000_s1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648" name="Button 624" hidden="1">
              <a:extLst>
                <a:ext uri="{63B3BB69-23CF-44E3-9099-C40C66FF867C}">
                  <a14:compatExt spid="_x0000_s16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649" name="Button 625" hidden="1">
              <a:extLst>
                <a:ext uri="{63B3BB69-23CF-44E3-9099-C40C66FF867C}">
                  <a14:compatExt spid="_x0000_s16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650" name="Button 626" hidden="1">
              <a:extLst>
                <a:ext uri="{63B3BB69-23CF-44E3-9099-C40C66FF867C}">
                  <a14:compatExt spid="_x0000_s1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651" name="Button 627" hidden="1">
              <a:extLst>
                <a:ext uri="{63B3BB69-23CF-44E3-9099-C40C66FF867C}">
                  <a14:compatExt spid="_x0000_s16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652" name="Button 628" hidden="1">
              <a:extLst>
                <a:ext uri="{63B3BB69-23CF-44E3-9099-C40C66FF867C}">
                  <a14:compatExt spid="_x0000_s1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653" name="Button 629" hidden="1">
              <a:extLst>
                <a:ext uri="{63B3BB69-23CF-44E3-9099-C40C66FF867C}">
                  <a14:compatExt spid="_x0000_s16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1654" name="Button 630" hidden="1">
              <a:extLst>
                <a:ext uri="{63B3BB69-23CF-44E3-9099-C40C66FF867C}">
                  <a14:compatExt spid="_x0000_s1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655" name="Button 631" hidden="1">
              <a:extLst>
                <a:ext uri="{63B3BB69-23CF-44E3-9099-C40C66FF867C}">
                  <a14:compatExt spid="_x0000_s16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656" name="Button 632" hidden="1">
              <a:extLst>
                <a:ext uri="{63B3BB69-23CF-44E3-9099-C40C66FF867C}">
                  <a14:compatExt spid="_x0000_s1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657" name="Button 633" hidden="1">
              <a:extLst>
                <a:ext uri="{63B3BB69-23CF-44E3-9099-C40C66FF867C}">
                  <a14:compatExt spid="_x0000_s1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658" name="Button 634" hidden="1">
              <a:extLst>
                <a:ext uri="{63B3BB69-23CF-44E3-9099-C40C66FF867C}">
                  <a14:compatExt spid="_x0000_s16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659" name="Button 635" hidden="1">
              <a:extLst>
                <a:ext uri="{63B3BB69-23CF-44E3-9099-C40C66FF867C}">
                  <a14:compatExt spid="_x0000_s1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660" name="Button 636" hidden="1">
              <a:extLst>
                <a:ext uri="{63B3BB69-23CF-44E3-9099-C40C66FF867C}">
                  <a14:compatExt spid="_x0000_s16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661" name="Button 637" hidden="1">
              <a:extLst>
                <a:ext uri="{63B3BB69-23CF-44E3-9099-C40C66FF867C}">
                  <a14:compatExt spid="_x0000_s16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662" name="Button 638" hidden="1">
              <a:extLst>
                <a:ext uri="{63B3BB69-23CF-44E3-9099-C40C66FF867C}">
                  <a14:compatExt spid="_x0000_s1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663" name="Button 639" hidden="1">
              <a:extLst>
                <a:ext uri="{63B3BB69-23CF-44E3-9099-C40C66FF867C}">
                  <a14:compatExt spid="_x0000_s16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664" name="Button 640" hidden="1">
              <a:extLst>
                <a:ext uri="{63B3BB69-23CF-44E3-9099-C40C66FF867C}">
                  <a14:compatExt spid="_x0000_s16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665" name="Button 641" hidden="1">
              <a:extLst>
                <a:ext uri="{63B3BB69-23CF-44E3-9099-C40C66FF867C}">
                  <a14:compatExt spid="_x0000_s1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1666" name="Button 642" hidden="1">
              <a:extLst>
                <a:ext uri="{63B3BB69-23CF-44E3-9099-C40C66FF867C}">
                  <a14:compatExt spid="_x0000_s16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667" name="Button 643" hidden="1">
              <a:extLst>
                <a:ext uri="{63B3BB69-23CF-44E3-9099-C40C66FF867C}">
                  <a14:compatExt spid="_x0000_s1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668" name="Button 644" hidden="1">
              <a:extLst>
                <a:ext uri="{63B3BB69-23CF-44E3-9099-C40C66FF867C}">
                  <a14:compatExt spid="_x0000_s1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669" name="Button 645" hidden="1">
              <a:extLst>
                <a:ext uri="{63B3BB69-23CF-44E3-9099-C40C66FF867C}">
                  <a14:compatExt spid="_x0000_s16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670" name="Button 646" hidden="1">
              <a:extLst>
                <a:ext uri="{63B3BB69-23CF-44E3-9099-C40C66FF867C}">
                  <a14:compatExt spid="_x0000_s1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671" name="Button 647" hidden="1">
              <a:extLst>
                <a:ext uri="{63B3BB69-23CF-44E3-9099-C40C66FF867C}">
                  <a14:compatExt spid="_x0000_s16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672" name="Button 648" hidden="1">
              <a:extLst>
                <a:ext uri="{63B3BB69-23CF-44E3-9099-C40C66FF867C}">
                  <a14:compatExt spid="_x0000_s16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1673" name="Button 649" hidden="1">
              <a:extLst>
                <a:ext uri="{63B3BB69-23CF-44E3-9099-C40C66FF867C}">
                  <a14:compatExt spid="_x0000_s1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674" name="Button 650" hidden="1">
              <a:extLst>
                <a:ext uri="{63B3BB69-23CF-44E3-9099-C40C66FF867C}">
                  <a14:compatExt spid="_x0000_s16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1675" name="Button 651" hidden="1">
              <a:extLst>
                <a:ext uri="{63B3BB69-23CF-44E3-9099-C40C66FF867C}">
                  <a14:compatExt spid="_x0000_s1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676" name="Button 652" hidden="1">
              <a:extLst>
                <a:ext uri="{63B3BB69-23CF-44E3-9099-C40C66FF867C}">
                  <a14:compatExt spid="_x0000_s1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677" name="Button 653" hidden="1">
              <a:extLst>
                <a:ext uri="{63B3BB69-23CF-44E3-9099-C40C66FF867C}">
                  <a14:compatExt spid="_x0000_s1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678" name="Button 654" hidden="1">
              <a:extLst>
                <a:ext uri="{63B3BB69-23CF-44E3-9099-C40C66FF867C}">
                  <a14:compatExt spid="_x0000_s16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679" name="Button 655" hidden="1">
              <a:extLst>
                <a:ext uri="{63B3BB69-23CF-44E3-9099-C40C66FF867C}">
                  <a14:compatExt spid="_x0000_s1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680" name="Button 656" hidden="1">
              <a:extLst>
                <a:ext uri="{63B3BB69-23CF-44E3-9099-C40C66FF867C}">
                  <a14:compatExt spid="_x0000_s16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681" name="Button 657" hidden="1">
              <a:extLst>
                <a:ext uri="{63B3BB69-23CF-44E3-9099-C40C66FF867C}">
                  <a14:compatExt spid="_x0000_s16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682" name="Button 658" hidden="1">
              <a:extLst>
                <a:ext uri="{63B3BB69-23CF-44E3-9099-C40C66FF867C}">
                  <a14:compatExt spid="_x0000_s1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1683" name="Button 659" hidden="1">
              <a:extLst>
                <a:ext uri="{63B3BB69-23CF-44E3-9099-C40C66FF867C}">
                  <a14:compatExt spid="_x0000_s16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684" name="Button 660" hidden="1">
              <a:extLst>
                <a:ext uri="{63B3BB69-23CF-44E3-9099-C40C66FF867C}">
                  <a14:compatExt spid="_x0000_s1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685" name="Button 661" hidden="1">
              <a:extLst>
                <a:ext uri="{63B3BB69-23CF-44E3-9099-C40C66FF867C}">
                  <a14:compatExt spid="_x0000_s1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686" name="Button 662" hidden="1">
              <a:extLst>
                <a:ext uri="{63B3BB69-23CF-44E3-9099-C40C66FF867C}">
                  <a14:compatExt spid="_x0000_s1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687" name="Button 663" hidden="1">
              <a:extLst>
                <a:ext uri="{63B3BB69-23CF-44E3-9099-C40C66FF867C}">
                  <a14:compatExt spid="_x0000_s16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688" name="Button 664" hidden="1">
              <a:extLst>
                <a:ext uri="{63B3BB69-23CF-44E3-9099-C40C66FF867C}">
                  <a14:compatExt spid="_x0000_s1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689" name="Button 665" hidden="1">
              <a:extLst>
                <a:ext uri="{63B3BB69-23CF-44E3-9099-C40C66FF867C}">
                  <a14:compatExt spid="_x0000_s16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690" name="Button 666" hidden="1">
              <a:extLst>
                <a:ext uri="{63B3BB69-23CF-44E3-9099-C40C66FF867C}">
                  <a14:compatExt spid="_x0000_s1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691" name="Button 667" hidden="1">
              <a:extLst>
                <a:ext uri="{63B3BB69-23CF-44E3-9099-C40C66FF867C}">
                  <a14:compatExt spid="_x0000_s16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692" name="Button 668" hidden="1">
              <a:extLst>
                <a:ext uri="{63B3BB69-23CF-44E3-9099-C40C66FF867C}">
                  <a14:compatExt spid="_x0000_s1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693" name="Button 669" hidden="1">
              <a:extLst>
                <a:ext uri="{63B3BB69-23CF-44E3-9099-C40C66FF867C}">
                  <a14:compatExt spid="_x0000_s16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694" name="Button 670" hidden="1">
              <a:extLst>
                <a:ext uri="{63B3BB69-23CF-44E3-9099-C40C66FF867C}">
                  <a14:compatExt spid="_x0000_s16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695" name="Button 671" hidden="1">
              <a:extLst>
                <a:ext uri="{63B3BB69-23CF-44E3-9099-C40C66FF867C}">
                  <a14:compatExt spid="_x0000_s1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696" name="Button 672" hidden="1">
              <a:extLst>
                <a:ext uri="{63B3BB69-23CF-44E3-9099-C40C66FF867C}">
                  <a14:compatExt spid="_x0000_s16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1697" name="Button 673" hidden="1">
              <a:extLst>
                <a:ext uri="{63B3BB69-23CF-44E3-9099-C40C66FF867C}">
                  <a14:compatExt spid="_x0000_s16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698" name="Button 674" hidden="1">
              <a:extLst>
                <a:ext uri="{63B3BB69-23CF-44E3-9099-C40C66FF867C}">
                  <a14:compatExt spid="_x0000_s1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699" name="Button 675" hidden="1">
              <a:extLst>
                <a:ext uri="{63B3BB69-23CF-44E3-9099-C40C66FF867C}">
                  <a14:compatExt spid="_x0000_s16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700" name="Button 676" hidden="1">
              <a:extLst>
                <a:ext uri="{63B3BB69-23CF-44E3-9099-C40C66FF867C}">
                  <a14:compatExt spid="_x0000_s1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701" name="Button 677" hidden="1">
              <a:extLst>
                <a:ext uri="{63B3BB69-23CF-44E3-9099-C40C66FF867C}">
                  <a14:compatExt spid="_x0000_s1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702" name="Button 678" hidden="1">
              <a:extLst>
                <a:ext uri="{63B3BB69-23CF-44E3-9099-C40C66FF867C}">
                  <a14:compatExt spid="_x0000_s17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703" name="Button 679" hidden="1">
              <a:extLst>
                <a:ext uri="{63B3BB69-23CF-44E3-9099-C40C66FF867C}">
                  <a14:compatExt spid="_x0000_s17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704" name="Button 680" hidden="1">
              <a:extLst>
                <a:ext uri="{63B3BB69-23CF-44E3-9099-C40C66FF867C}">
                  <a14:compatExt spid="_x0000_s1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705" name="Button 681" hidden="1">
              <a:extLst>
                <a:ext uri="{63B3BB69-23CF-44E3-9099-C40C66FF867C}">
                  <a14:compatExt spid="_x0000_s17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706" name="Button 682" hidden="1">
              <a:extLst>
                <a:ext uri="{63B3BB69-23CF-44E3-9099-C40C66FF867C}">
                  <a14:compatExt spid="_x0000_s1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707" name="Button 683" hidden="1">
              <a:extLst>
                <a:ext uri="{63B3BB69-23CF-44E3-9099-C40C66FF867C}">
                  <a14:compatExt spid="_x0000_s1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708" name="Button 684" hidden="1">
              <a:extLst>
                <a:ext uri="{63B3BB69-23CF-44E3-9099-C40C66FF867C}">
                  <a14:compatExt spid="_x0000_s1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709" name="Button 685" hidden="1">
              <a:extLst>
                <a:ext uri="{63B3BB69-23CF-44E3-9099-C40C66FF867C}">
                  <a14:compatExt spid="_x0000_s1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710" name="Button 686" hidden="1">
              <a:extLst>
                <a:ext uri="{63B3BB69-23CF-44E3-9099-C40C66FF867C}">
                  <a14:compatExt spid="_x0000_s1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711" name="Button 687" hidden="1">
              <a:extLst>
                <a:ext uri="{63B3BB69-23CF-44E3-9099-C40C66FF867C}">
                  <a14:compatExt spid="_x0000_s1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712" name="Button 688" hidden="1">
              <a:extLst>
                <a:ext uri="{63B3BB69-23CF-44E3-9099-C40C66FF867C}">
                  <a14:compatExt spid="_x0000_s1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713" name="Button 689" hidden="1">
              <a:extLst>
                <a:ext uri="{63B3BB69-23CF-44E3-9099-C40C66FF867C}">
                  <a14:compatExt spid="_x0000_s1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714" name="Button 690" hidden="1">
              <a:extLst>
                <a:ext uri="{63B3BB69-23CF-44E3-9099-C40C66FF867C}">
                  <a14:compatExt spid="_x0000_s1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715" name="Button 691" hidden="1">
              <a:extLst>
                <a:ext uri="{63B3BB69-23CF-44E3-9099-C40C66FF867C}">
                  <a14:compatExt spid="_x0000_s1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716" name="Button 692" hidden="1">
              <a:extLst>
                <a:ext uri="{63B3BB69-23CF-44E3-9099-C40C66FF867C}">
                  <a14:compatExt spid="_x0000_s1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717" name="Button 693" hidden="1">
              <a:extLst>
                <a:ext uri="{63B3BB69-23CF-44E3-9099-C40C66FF867C}">
                  <a14:compatExt spid="_x0000_s1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718" name="Button 694" hidden="1">
              <a:extLst>
                <a:ext uri="{63B3BB69-23CF-44E3-9099-C40C66FF867C}">
                  <a14:compatExt spid="_x0000_s1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719" name="Button 695" hidden="1">
              <a:extLst>
                <a:ext uri="{63B3BB69-23CF-44E3-9099-C40C66FF867C}">
                  <a14:compatExt spid="_x0000_s1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720" name="Button 696" hidden="1">
              <a:extLst>
                <a:ext uri="{63B3BB69-23CF-44E3-9099-C40C66FF867C}">
                  <a14:compatExt spid="_x0000_s1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721" name="Button 697" hidden="1">
              <a:extLst>
                <a:ext uri="{63B3BB69-23CF-44E3-9099-C40C66FF867C}">
                  <a14:compatExt spid="_x0000_s1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722" name="Button 698" hidden="1">
              <a:extLst>
                <a:ext uri="{63B3BB69-23CF-44E3-9099-C40C66FF867C}">
                  <a14:compatExt spid="_x0000_s1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723" name="Button 699" hidden="1">
              <a:extLst>
                <a:ext uri="{63B3BB69-23CF-44E3-9099-C40C66FF867C}">
                  <a14:compatExt spid="_x0000_s1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724" name="Button 700" hidden="1">
              <a:extLst>
                <a:ext uri="{63B3BB69-23CF-44E3-9099-C40C66FF867C}">
                  <a14:compatExt spid="_x0000_s1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725" name="Button 701" hidden="1">
              <a:extLst>
                <a:ext uri="{63B3BB69-23CF-44E3-9099-C40C66FF867C}">
                  <a14:compatExt spid="_x0000_s1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726" name="Button 702" hidden="1">
              <a:extLst>
                <a:ext uri="{63B3BB69-23CF-44E3-9099-C40C66FF867C}">
                  <a14:compatExt spid="_x0000_s1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727" name="Button 703" hidden="1">
              <a:extLst>
                <a:ext uri="{63B3BB69-23CF-44E3-9099-C40C66FF867C}">
                  <a14:compatExt spid="_x0000_s1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728" name="Button 704" hidden="1">
              <a:extLst>
                <a:ext uri="{63B3BB69-23CF-44E3-9099-C40C66FF867C}">
                  <a14:compatExt spid="_x0000_s1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729" name="Button 705" hidden="1">
              <a:extLst>
                <a:ext uri="{63B3BB69-23CF-44E3-9099-C40C66FF867C}">
                  <a14:compatExt spid="_x0000_s1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730" name="Button 706" hidden="1">
              <a:extLst>
                <a:ext uri="{63B3BB69-23CF-44E3-9099-C40C66FF867C}">
                  <a14:compatExt spid="_x0000_s1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731" name="Button 707" hidden="1">
              <a:extLst>
                <a:ext uri="{63B3BB69-23CF-44E3-9099-C40C66FF867C}">
                  <a14:compatExt spid="_x0000_s1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732" name="Button 708" hidden="1">
              <a:extLst>
                <a:ext uri="{63B3BB69-23CF-44E3-9099-C40C66FF867C}">
                  <a14:compatExt spid="_x0000_s1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1733" name="Button 709" hidden="1">
              <a:extLst>
                <a:ext uri="{63B3BB69-23CF-44E3-9099-C40C66FF867C}">
                  <a14:compatExt spid="_x0000_s1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734" name="Button 710" hidden="1">
              <a:extLst>
                <a:ext uri="{63B3BB69-23CF-44E3-9099-C40C66FF867C}">
                  <a14:compatExt spid="_x0000_s1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1735" name="Button 711" hidden="1">
              <a:extLst>
                <a:ext uri="{63B3BB69-23CF-44E3-9099-C40C66FF867C}">
                  <a14:compatExt spid="_x0000_s1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1736" name="Button 712" hidden="1">
              <a:extLst>
                <a:ext uri="{63B3BB69-23CF-44E3-9099-C40C66FF867C}">
                  <a14:compatExt spid="_x0000_s1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1737" name="Button 713" hidden="1">
              <a:extLst>
                <a:ext uri="{63B3BB69-23CF-44E3-9099-C40C66FF867C}">
                  <a14:compatExt spid="_x0000_s1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1738" name="Button 714" hidden="1">
              <a:extLst>
                <a:ext uri="{63B3BB69-23CF-44E3-9099-C40C66FF867C}">
                  <a14:compatExt spid="_x0000_s1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739" name="Button 715" hidden="1">
              <a:extLst>
                <a:ext uri="{63B3BB69-23CF-44E3-9099-C40C66FF867C}">
                  <a14:compatExt spid="_x0000_s1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740" name="Button 716" hidden="1">
              <a:extLst>
                <a:ext uri="{63B3BB69-23CF-44E3-9099-C40C66FF867C}">
                  <a14:compatExt spid="_x0000_s1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741" name="Button 717" hidden="1">
              <a:extLst>
                <a:ext uri="{63B3BB69-23CF-44E3-9099-C40C66FF867C}">
                  <a14:compatExt spid="_x0000_s1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742" name="Button 718" hidden="1">
              <a:extLst>
                <a:ext uri="{63B3BB69-23CF-44E3-9099-C40C66FF867C}">
                  <a14:compatExt spid="_x0000_s1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743" name="Button 719" hidden="1">
              <a:extLst>
                <a:ext uri="{63B3BB69-23CF-44E3-9099-C40C66FF867C}">
                  <a14:compatExt spid="_x0000_s1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744" name="Button 720" hidden="1">
              <a:extLst>
                <a:ext uri="{63B3BB69-23CF-44E3-9099-C40C66FF867C}">
                  <a14:compatExt spid="_x0000_s1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745" name="Button 721" hidden="1">
              <a:extLst>
                <a:ext uri="{63B3BB69-23CF-44E3-9099-C40C66FF867C}">
                  <a14:compatExt spid="_x0000_s1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746" name="Button 722" hidden="1">
              <a:extLst>
                <a:ext uri="{63B3BB69-23CF-44E3-9099-C40C66FF867C}">
                  <a14:compatExt spid="_x0000_s1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747" name="Button 723" hidden="1">
              <a:extLst>
                <a:ext uri="{63B3BB69-23CF-44E3-9099-C40C66FF867C}">
                  <a14:compatExt spid="_x0000_s1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748" name="Button 724" hidden="1">
              <a:extLst>
                <a:ext uri="{63B3BB69-23CF-44E3-9099-C40C66FF867C}">
                  <a14:compatExt spid="_x0000_s1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1749" name="Button 725" hidden="1">
              <a:extLst>
                <a:ext uri="{63B3BB69-23CF-44E3-9099-C40C66FF867C}">
                  <a14:compatExt spid="_x0000_s1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1750" name="Button 726" hidden="1">
              <a:extLst>
                <a:ext uri="{63B3BB69-23CF-44E3-9099-C40C66FF867C}">
                  <a14:compatExt spid="_x0000_s1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751" name="Button 727" hidden="1">
              <a:extLst>
                <a:ext uri="{63B3BB69-23CF-44E3-9099-C40C66FF867C}">
                  <a14:compatExt spid="_x0000_s1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1752" name="Button 728" hidden="1">
              <a:extLst>
                <a:ext uri="{63B3BB69-23CF-44E3-9099-C40C66FF867C}">
                  <a14:compatExt spid="_x0000_s1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1753" name="Button 729" hidden="1">
              <a:extLst>
                <a:ext uri="{63B3BB69-23CF-44E3-9099-C40C66FF867C}">
                  <a14:compatExt spid="_x0000_s1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1754" name="Button 730" hidden="1">
              <a:extLst>
                <a:ext uri="{63B3BB69-23CF-44E3-9099-C40C66FF867C}">
                  <a14:compatExt spid="_x0000_s17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755" name="Button 731" hidden="1">
              <a:extLst>
                <a:ext uri="{63B3BB69-23CF-44E3-9099-C40C66FF867C}">
                  <a14:compatExt spid="_x0000_s1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1756" name="Button 732" hidden="1">
              <a:extLst>
                <a:ext uri="{63B3BB69-23CF-44E3-9099-C40C66FF867C}">
                  <a14:compatExt spid="_x0000_s17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757" name="Button 733" hidden="1">
              <a:extLst>
                <a:ext uri="{63B3BB69-23CF-44E3-9099-C40C66FF867C}">
                  <a14:compatExt spid="_x0000_s1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758" name="Button 734" hidden="1">
              <a:extLst>
                <a:ext uri="{63B3BB69-23CF-44E3-9099-C40C66FF867C}">
                  <a14:compatExt spid="_x0000_s1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759" name="Button 735" hidden="1">
              <a:extLst>
                <a:ext uri="{63B3BB69-23CF-44E3-9099-C40C66FF867C}">
                  <a14:compatExt spid="_x0000_s1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760" name="Button 736" hidden="1">
              <a:extLst>
                <a:ext uri="{63B3BB69-23CF-44E3-9099-C40C66FF867C}">
                  <a14:compatExt spid="_x0000_s17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761" name="Button 737" hidden="1">
              <a:extLst>
                <a:ext uri="{63B3BB69-23CF-44E3-9099-C40C66FF867C}">
                  <a14:compatExt spid="_x0000_s1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1762" name="Button 738" hidden="1">
              <a:extLst>
                <a:ext uri="{63B3BB69-23CF-44E3-9099-C40C66FF867C}">
                  <a14:compatExt spid="_x0000_s17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1763" name="Button 739" hidden="1">
              <a:extLst>
                <a:ext uri="{63B3BB69-23CF-44E3-9099-C40C66FF867C}">
                  <a14:compatExt spid="_x0000_s1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1764" name="Button 740" hidden="1">
              <a:extLst>
                <a:ext uri="{63B3BB69-23CF-44E3-9099-C40C66FF867C}">
                  <a14:compatExt spid="_x0000_s1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1765" name="Button 741" hidden="1">
              <a:extLst>
                <a:ext uri="{63B3BB69-23CF-44E3-9099-C40C66FF867C}">
                  <a14:compatExt spid="_x0000_s1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1766" name="Button 742" hidden="1">
              <a:extLst>
                <a:ext uri="{63B3BB69-23CF-44E3-9099-C40C66FF867C}">
                  <a14:compatExt spid="_x0000_s1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1767" name="Button 743" hidden="1">
              <a:extLst>
                <a:ext uri="{63B3BB69-23CF-44E3-9099-C40C66FF867C}">
                  <a14:compatExt spid="_x0000_s1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1768" name="Button 744" hidden="1">
              <a:extLst>
                <a:ext uri="{63B3BB69-23CF-44E3-9099-C40C66FF867C}">
                  <a14:compatExt spid="_x0000_s1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1769" name="Button 745" hidden="1">
              <a:extLst>
                <a:ext uri="{63B3BB69-23CF-44E3-9099-C40C66FF867C}">
                  <a14:compatExt spid="_x0000_s1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1770" name="Button 746" hidden="1">
              <a:extLst>
                <a:ext uri="{63B3BB69-23CF-44E3-9099-C40C66FF867C}">
                  <a14:compatExt spid="_x0000_s1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1771" name="Button 747" hidden="1">
              <a:extLst>
                <a:ext uri="{63B3BB69-23CF-44E3-9099-C40C66FF867C}">
                  <a14:compatExt spid="_x0000_s1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1772" name="Button 748" hidden="1">
              <a:extLst>
                <a:ext uri="{63B3BB69-23CF-44E3-9099-C40C66FF867C}">
                  <a14:compatExt spid="_x0000_s1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1773" name="Button 749" hidden="1">
              <a:extLst>
                <a:ext uri="{63B3BB69-23CF-44E3-9099-C40C66FF867C}">
                  <a14:compatExt spid="_x0000_s1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774" name="Button 750" hidden="1">
              <a:extLst>
                <a:ext uri="{63B3BB69-23CF-44E3-9099-C40C66FF867C}">
                  <a14:compatExt spid="_x0000_s1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1775" name="Button 751" hidden="1">
              <a:extLst>
                <a:ext uri="{63B3BB69-23CF-44E3-9099-C40C66FF867C}">
                  <a14:compatExt spid="_x0000_s17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776" name="Button 752" hidden="1">
              <a:extLst>
                <a:ext uri="{63B3BB69-23CF-44E3-9099-C40C66FF867C}">
                  <a14:compatExt spid="_x0000_s1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1777" name="Button 753" hidden="1">
              <a:extLst>
                <a:ext uri="{63B3BB69-23CF-44E3-9099-C40C66FF867C}">
                  <a14:compatExt spid="_x0000_s17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778" name="Button 754" hidden="1">
              <a:extLst>
                <a:ext uri="{63B3BB69-23CF-44E3-9099-C40C66FF867C}">
                  <a14:compatExt spid="_x0000_s1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1779" name="Button 755" hidden="1">
              <a:extLst>
                <a:ext uri="{63B3BB69-23CF-44E3-9099-C40C66FF867C}">
                  <a14:compatExt spid="_x0000_s17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780" name="Button 756" hidden="1">
              <a:extLst>
                <a:ext uri="{63B3BB69-23CF-44E3-9099-C40C66FF867C}">
                  <a14:compatExt spid="_x0000_s1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1781" name="Button 757" hidden="1">
              <a:extLst>
                <a:ext uri="{63B3BB69-23CF-44E3-9099-C40C66FF867C}">
                  <a14:compatExt spid="_x0000_s17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1782" name="Button 758" hidden="1">
              <a:extLst>
                <a:ext uri="{63B3BB69-23CF-44E3-9099-C40C66FF867C}">
                  <a14:compatExt spid="_x0000_s1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1783" name="Button 759" hidden="1">
              <a:extLst>
                <a:ext uri="{63B3BB69-23CF-44E3-9099-C40C66FF867C}">
                  <a14:compatExt spid="_x0000_s1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1784" name="Button 760" hidden="1">
              <a:extLst>
                <a:ext uri="{63B3BB69-23CF-44E3-9099-C40C66FF867C}">
                  <a14:compatExt spid="_x0000_s1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1785" name="Button 761" hidden="1">
              <a:extLst>
                <a:ext uri="{63B3BB69-23CF-44E3-9099-C40C66FF867C}">
                  <a14:compatExt spid="_x0000_s1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1786" name="Button 762" hidden="1">
              <a:extLst>
                <a:ext uri="{63B3BB69-23CF-44E3-9099-C40C66FF867C}">
                  <a14:compatExt spid="_x0000_s1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1787" name="Button 763" hidden="1">
              <a:extLst>
                <a:ext uri="{63B3BB69-23CF-44E3-9099-C40C66FF867C}">
                  <a14:compatExt spid="_x0000_s1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1788" name="Button 764" hidden="1">
              <a:extLst>
                <a:ext uri="{63B3BB69-23CF-44E3-9099-C40C66FF867C}">
                  <a14:compatExt spid="_x0000_s1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1789" name="Button 765" hidden="1">
              <a:extLst>
                <a:ext uri="{63B3BB69-23CF-44E3-9099-C40C66FF867C}">
                  <a14:compatExt spid="_x0000_s1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1790" name="Button 766" hidden="1">
              <a:extLst>
                <a:ext uri="{63B3BB69-23CF-44E3-9099-C40C66FF867C}">
                  <a14:compatExt spid="_x0000_s1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1791" name="Button 767" hidden="1">
              <a:extLst>
                <a:ext uri="{63B3BB69-23CF-44E3-9099-C40C66FF867C}">
                  <a14:compatExt spid="_x0000_s1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792" name="Button 768" hidden="1">
              <a:extLst>
                <a:ext uri="{63B3BB69-23CF-44E3-9099-C40C66FF867C}">
                  <a14:compatExt spid="_x0000_s1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1793" name="Button 769" hidden="1">
              <a:extLst>
                <a:ext uri="{63B3BB69-23CF-44E3-9099-C40C66FF867C}">
                  <a14:compatExt spid="_x0000_s1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1794" name="Button 770" hidden="1">
              <a:extLst>
                <a:ext uri="{63B3BB69-23CF-44E3-9099-C40C66FF867C}">
                  <a14:compatExt spid="_x0000_s1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1795" name="Button 771" hidden="1">
              <a:extLst>
                <a:ext uri="{63B3BB69-23CF-44E3-9099-C40C66FF867C}">
                  <a14:compatExt spid="_x0000_s1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1796" name="Button 772" hidden="1">
              <a:extLst>
                <a:ext uri="{63B3BB69-23CF-44E3-9099-C40C66FF867C}">
                  <a14:compatExt spid="_x0000_s1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1797" name="Button 773" hidden="1">
              <a:extLst>
                <a:ext uri="{63B3BB69-23CF-44E3-9099-C40C66FF867C}">
                  <a14:compatExt spid="_x0000_s17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1798" name="Button 774" hidden="1">
              <a:extLst>
                <a:ext uri="{63B3BB69-23CF-44E3-9099-C40C66FF867C}">
                  <a14:compatExt spid="_x0000_s1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1799" name="Button 775" hidden="1">
              <a:extLst>
                <a:ext uri="{63B3BB69-23CF-44E3-9099-C40C66FF867C}">
                  <a14:compatExt spid="_x0000_s17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1800" name="Button 776" hidden="1">
              <a:extLst>
                <a:ext uri="{63B3BB69-23CF-44E3-9099-C40C66FF867C}">
                  <a14:compatExt spid="_x0000_s1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1801" name="Button 777" hidden="1">
              <a:extLst>
                <a:ext uri="{63B3BB69-23CF-44E3-9099-C40C66FF867C}">
                  <a14:compatExt spid="_x0000_s1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802" name="Button 778" hidden="1">
              <a:extLst>
                <a:ext uri="{63B3BB69-23CF-44E3-9099-C40C66FF867C}">
                  <a14:compatExt spid="_x0000_s1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803" name="Button 779" hidden="1">
              <a:extLst>
                <a:ext uri="{63B3BB69-23CF-44E3-9099-C40C66FF867C}">
                  <a14:compatExt spid="_x0000_s1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1804" name="Button 780" hidden="1">
              <a:extLst>
                <a:ext uri="{63B3BB69-23CF-44E3-9099-C40C66FF867C}">
                  <a14:compatExt spid="_x0000_s1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1805" name="Button 781" hidden="1">
              <a:extLst>
                <a:ext uri="{63B3BB69-23CF-44E3-9099-C40C66FF867C}">
                  <a14:compatExt spid="_x0000_s1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1806" name="Button 782" hidden="1">
              <a:extLst>
                <a:ext uri="{63B3BB69-23CF-44E3-9099-C40C66FF867C}">
                  <a14:compatExt spid="_x0000_s1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1807" name="Button 783" hidden="1">
              <a:extLst>
                <a:ext uri="{63B3BB69-23CF-44E3-9099-C40C66FF867C}">
                  <a14:compatExt spid="_x0000_s1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1808" name="Button 784" hidden="1">
              <a:extLst>
                <a:ext uri="{63B3BB69-23CF-44E3-9099-C40C66FF867C}">
                  <a14:compatExt spid="_x0000_s1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1809" name="Button 785" hidden="1">
              <a:extLst>
                <a:ext uri="{63B3BB69-23CF-44E3-9099-C40C66FF867C}">
                  <a14:compatExt spid="_x0000_s1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1810" name="Button 786" hidden="1">
              <a:extLst>
                <a:ext uri="{63B3BB69-23CF-44E3-9099-C40C66FF867C}">
                  <a14:compatExt spid="_x0000_s1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1811" name="Button 787" hidden="1">
              <a:extLst>
                <a:ext uri="{63B3BB69-23CF-44E3-9099-C40C66FF867C}">
                  <a14:compatExt spid="_x0000_s1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1812" name="Button 788" hidden="1">
              <a:extLst>
                <a:ext uri="{63B3BB69-23CF-44E3-9099-C40C66FF867C}">
                  <a14:compatExt spid="_x0000_s1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1813" name="Button 789" hidden="1">
              <a:extLst>
                <a:ext uri="{63B3BB69-23CF-44E3-9099-C40C66FF867C}">
                  <a14:compatExt spid="_x0000_s1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814" name="Button 790" hidden="1">
              <a:extLst>
                <a:ext uri="{63B3BB69-23CF-44E3-9099-C40C66FF867C}">
                  <a14:compatExt spid="_x0000_s1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815" name="Button 791" hidden="1">
              <a:extLst>
                <a:ext uri="{63B3BB69-23CF-44E3-9099-C40C66FF867C}">
                  <a14:compatExt spid="_x0000_s1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1816" name="Button 792" hidden="1">
              <a:extLst>
                <a:ext uri="{63B3BB69-23CF-44E3-9099-C40C66FF867C}">
                  <a14:compatExt spid="_x0000_s1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817" name="Button 793" hidden="1">
              <a:extLst>
                <a:ext uri="{63B3BB69-23CF-44E3-9099-C40C66FF867C}">
                  <a14:compatExt spid="_x0000_s1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1818" name="Button 794" hidden="1">
              <a:extLst>
                <a:ext uri="{63B3BB69-23CF-44E3-9099-C40C66FF867C}">
                  <a14:compatExt spid="_x0000_s1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1819" name="Button 795" hidden="1">
              <a:extLst>
                <a:ext uri="{63B3BB69-23CF-44E3-9099-C40C66FF867C}">
                  <a14:compatExt spid="_x0000_s1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1820" name="Button 796" hidden="1">
              <a:extLst>
                <a:ext uri="{63B3BB69-23CF-44E3-9099-C40C66FF867C}">
                  <a14:compatExt spid="_x0000_s1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1821" name="Button 797" hidden="1">
              <a:extLst>
                <a:ext uri="{63B3BB69-23CF-44E3-9099-C40C66FF867C}">
                  <a14:compatExt spid="_x0000_s1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1822" name="Button 798" hidden="1">
              <a:extLst>
                <a:ext uri="{63B3BB69-23CF-44E3-9099-C40C66FF867C}">
                  <a14:compatExt spid="_x0000_s1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1823" name="Button 799" hidden="1">
              <a:extLst>
                <a:ext uri="{63B3BB69-23CF-44E3-9099-C40C66FF867C}">
                  <a14:compatExt spid="_x0000_s1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1824" name="Button 800" hidden="1">
              <a:extLst>
                <a:ext uri="{63B3BB69-23CF-44E3-9099-C40C66FF867C}">
                  <a14:compatExt spid="_x0000_s1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1825" name="Button 801" hidden="1">
              <a:extLst>
                <a:ext uri="{63B3BB69-23CF-44E3-9099-C40C66FF867C}">
                  <a14:compatExt spid="_x0000_s1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1826" name="Button 802" hidden="1">
              <a:extLst>
                <a:ext uri="{63B3BB69-23CF-44E3-9099-C40C66FF867C}">
                  <a14:compatExt spid="_x0000_s1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827" name="Button 803" hidden="1">
              <a:extLst>
                <a:ext uri="{63B3BB69-23CF-44E3-9099-C40C66FF867C}">
                  <a14:compatExt spid="_x0000_s1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828" name="Button 804" hidden="1">
              <a:extLst>
                <a:ext uri="{63B3BB69-23CF-44E3-9099-C40C66FF867C}">
                  <a14:compatExt spid="_x0000_s1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1829" name="Button 805" hidden="1">
              <a:extLst>
                <a:ext uri="{63B3BB69-23CF-44E3-9099-C40C66FF867C}">
                  <a14:compatExt spid="_x0000_s18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1830" name="Button 806" hidden="1">
              <a:extLst>
                <a:ext uri="{63B3BB69-23CF-44E3-9099-C40C66FF867C}">
                  <a14:compatExt spid="_x0000_s1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1831" name="Button 807" hidden="1">
              <a:extLst>
                <a:ext uri="{63B3BB69-23CF-44E3-9099-C40C66FF867C}">
                  <a14:compatExt spid="_x0000_s18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1832" name="Button 808" hidden="1">
              <a:extLst>
                <a:ext uri="{63B3BB69-23CF-44E3-9099-C40C66FF867C}">
                  <a14:compatExt spid="_x0000_s1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1833" name="Button 809" hidden="1">
              <a:extLst>
                <a:ext uri="{63B3BB69-23CF-44E3-9099-C40C66FF867C}">
                  <a14:compatExt spid="_x0000_s1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1834" name="Button 810" hidden="1">
              <a:extLst>
                <a:ext uri="{63B3BB69-23CF-44E3-9099-C40C66FF867C}">
                  <a14:compatExt spid="_x0000_s1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1835" name="Button 811" hidden="1">
              <a:extLst>
                <a:ext uri="{63B3BB69-23CF-44E3-9099-C40C66FF867C}">
                  <a14:compatExt spid="_x0000_s1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1836" name="Button 812" hidden="1">
              <a:extLst>
                <a:ext uri="{63B3BB69-23CF-44E3-9099-C40C66FF867C}">
                  <a14:compatExt spid="_x0000_s1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1837" name="Button 813" hidden="1">
              <a:extLst>
                <a:ext uri="{63B3BB69-23CF-44E3-9099-C40C66FF867C}">
                  <a14:compatExt spid="_x0000_s18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1838" name="Button 814" hidden="1">
              <a:extLst>
                <a:ext uri="{63B3BB69-23CF-44E3-9099-C40C66FF867C}">
                  <a14:compatExt spid="_x0000_s1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1839" name="Button 815" hidden="1">
              <a:extLst>
                <a:ext uri="{63B3BB69-23CF-44E3-9099-C40C66FF867C}">
                  <a14:compatExt spid="_x0000_s18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1840" name="Button 816" hidden="1">
              <a:extLst>
                <a:ext uri="{63B3BB69-23CF-44E3-9099-C40C66FF867C}">
                  <a14:compatExt spid="_x0000_s1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1841" name="Button 817" hidden="1">
              <a:extLst>
                <a:ext uri="{63B3BB69-23CF-44E3-9099-C40C66FF867C}">
                  <a14:compatExt spid="_x0000_s1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1842" name="Button 818" hidden="1">
              <a:extLst>
                <a:ext uri="{63B3BB69-23CF-44E3-9099-C40C66FF867C}">
                  <a14:compatExt spid="_x0000_s1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1843" name="Button 819" hidden="1">
              <a:extLst>
                <a:ext uri="{63B3BB69-23CF-44E3-9099-C40C66FF867C}">
                  <a14:compatExt spid="_x0000_s1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1844" name="Button 820" hidden="1">
              <a:extLst>
                <a:ext uri="{63B3BB69-23CF-44E3-9099-C40C66FF867C}">
                  <a14:compatExt spid="_x0000_s1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1845" name="Button 821" hidden="1">
              <a:extLst>
                <a:ext uri="{63B3BB69-23CF-44E3-9099-C40C66FF867C}">
                  <a14:compatExt spid="_x0000_s1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1846" name="Button 822" hidden="1">
              <a:extLst>
                <a:ext uri="{63B3BB69-23CF-44E3-9099-C40C66FF867C}">
                  <a14:compatExt spid="_x0000_s1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1847" name="Button 823" hidden="1">
              <a:extLst>
                <a:ext uri="{63B3BB69-23CF-44E3-9099-C40C66FF867C}">
                  <a14:compatExt spid="_x0000_s18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1848" name="Button 824" hidden="1">
              <a:extLst>
                <a:ext uri="{63B3BB69-23CF-44E3-9099-C40C66FF867C}">
                  <a14:compatExt spid="_x0000_s1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1849" name="Button 825" hidden="1">
              <a:extLst>
                <a:ext uri="{63B3BB69-23CF-44E3-9099-C40C66FF867C}">
                  <a14:compatExt spid="_x0000_s18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1850" name="Button 826" hidden="1">
              <a:extLst>
                <a:ext uri="{63B3BB69-23CF-44E3-9099-C40C66FF867C}">
                  <a14:compatExt spid="_x0000_s1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1851" name="Button 827" hidden="1">
              <a:extLst>
                <a:ext uri="{63B3BB69-23CF-44E3-9099-C40C66FF867C}">
                  <a14:compatExt spid="_x0000_s1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1852" name="Button 828" hidden="1">
              <a:extLst>
                <a:ext uri="{63B3BB69-23CF-44E3-9099-C40C66FF867C}">
                  <a14:compatExt spid="_x0000_s18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1853" name="Button 829" hidden="1">
              <a:extLst>
                <a:ext uri="{63B3BB69-23CF-44E3-9099-C40C66FF867C}">
                  <a14:compatExt spid="_x0000_s1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1854" name="Button 830" hidden="1">
              <a:extLst>
                <a:ext uri="{63B3BB69-23CF-44E3-9099-C40C66FF867C}">
                  <a14:compatExt spid="_x0000_s18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1855" name="Button 831" hidden="1">
              <a:extLst>
                <a:ext uri="{63B3BB69-23CF-44E3-9099-C40C66FF867C}">
                  <a14:compatExt spid="_x0000_s18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1856" name="Button 832" hidden="1">
              <a:extLst>
                <a:ext uri="{63B3BB69-23CF-44E3-9099-C40C66FF867C}">
                  <a14:compatExt spid="_x0000_s1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1857" name="Button 833" hidden="1">
              <a:extLst>
                <a:ext uri="{63B3BB69-23CF-44E3-9099-C40C66FF867C}">
                  <a14:compatExt spid="_x0000_s18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1858" name="Button 834" hidden="1">
              <a:extLst>
                <a:ext uri="{63B3BB69-23CF-44E3-9099-C40C66FF867C}">
                  <a14:compatExt spid="_x0000_s18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1859" name="Button 835" hidden="1">
              <a:extLst>
                <a:ext uri="{63B3BB69-23CF-44E3-9099-C40C66FF867C}">
                  <a14:compatExt spid="_x0000_s1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1860" name="Button 836" hidden="1">
              <a:extLst>
                <a:ext uri="{63B3BB69-23CF-44E3-9099-C40C66FF867C}">
                  <a14:compatExt spid="_x0000_s18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1861" name="Button 837" hidden="1">
              <a:extLst>
                <a:ext uri="{63B3BB69-23CF-44E3-9099-C40C66FF867C}">
                  <a14:compatExt spid="_x0000_s1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1862" name="Button 838" hidden="1">
              <a:extLst>
                <a:ext uri="{63B3BB69-23CF-44E3-9099-C40C66FF867C}">
                  <a14:compatExt spid="_x0000_s18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1863" name="Button 839" hidden="1">
              <a:extLst>
                <a:ext uri="{63B3BB69-23CF-44E3-9099-C40C66FF867C}">
                  <a14:compatExt spid="_x0000_s1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1864" name="Button 840" hidden="1">
              <a:extLst>
                <a:ext uri="{63B3BB69-23CF-44E3-9099-C40C66FF867C}">
                  <a14:compatExt spid="_x0000_s18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1865" name="Button 841" hidden="1">
              <a:extLst>
                <a:ext uri="{63B3BB69-23CF-44E3-9099-C40C66FF867C}">
                  <a14:compatExt spid="_x0000_s18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1866" name="Button 842" hidden="1">
              <a:extLst>
                <a:ext uri="{63B3BB69-23CF-44E3-9099-C40C66FF867C}">
                  <a14:compatExt spid="_x0000_s1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1867" name="Button 843" hidden="1">
              <a:extLst>
                <a:ext uri="{63B3BB69-23CF-44E3-9099-C40C66FF867C}">
                  <a14:compatExt spid="_x0000_s18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1868" name="Button 844" hidden="1">
              <a:extLst>
                <a:ext uri="{63B3BB69-23CF-44E3-9099-C40C66FF867C}">
                  <a14:compatExt spid="_x0000_s18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1869" name="Button 845" hidden="1">
              <a:extLst>
                <a:ext uri="{63B3BB69-23CF-44E3-9099-C40C66FF867C}">
                  <a14:compatExt spid="_x0000_s1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1870" name="Button 846" hidden="1">
              <a:extLst>
                <a:ext uri="{63B3BB69-23CF-44E3-9099-C40C66FF867C}">
                  <a14:compatExt spid="_x0000_s18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1871" name="Button 847" hidden="1">
              <a:extLst>
                <a:ext uri="{63B3BB69-23CF-44E3-9099-C40C66FF867C}">
                  <a14:compatExt spid="_x0000_s18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1872" name="Button 848" hidden="1">
              <a:extLst>
                <a:ext uri="{63B3BB69-23CF-44E3-9099-C40C66FF867C}">
                  <a14:compatExt spid="_x0000_s1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1873" name="Button 849" hidden="1">
              <a:extLst>
                <a:ext uri="{63B3BB69-23CF-44E3-9099-C40C66FF867C}">
                  <a14:compatExt spid="_x0000_s18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1874" name="Button 850" hidden="1">
              <a:extLst>
                <a:ext uri="{63B3BB69-23CF-44E3-9099-C40C66FF867C}">
                  <a14:compatExt spid="_x0000_s1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1875" name="Button 851" hidden="1">
              <a:extLst>
                <a:ext uri="{63B3BB69-23CF-44E3-9099-C40C66FF867C}">
                  <a14:compatExt spid="_x0000_s18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1876" name="Button 852" hidden="1">
              <a:extLst>
                <a:ext uri="{63B3BB69-23CF-44E3-9099-C40C66FF867C}">
                  <a14:compatExt spid="_x0000_s1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1877" name="Button 853" hidden="1">
              <a:extLst>
                <a:ext uri="{63B3BB69-23CF-44E3-9099-C40C66FF867C}">
                  <a14:compatExt spid="_x0000_s18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1878" name="Button 854" hidden="1">
              <a:extLst>
                <a:ext uri="{63B3BB69-23CF-44E3-9099-C40C66FF867C}">
                  <a14:compatExt spid="_x0000_s1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1879" name="Button 855" hidden="1">
              <a:extLst>
                <a:ext uri="{63B3BB69-23CF-44E3-9099-C40C66FF867C}">
                  <a14:compatExt spid="_x0000_s18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1880" name="Button 856" hidden="1">
              <a:extLst>
                <a:ext uri="{63B3BB69-23CF-44E3-9099-C40C66FF867C}">
                  <a14:compatExt spid="_x0000_s1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1881" name="Button 857" hidden="1">
              <a:extLst>
                <a:ext uri="{63B3BB69-23CF-44E3-9099-C40C66FF867C}">
                  <a14:compatExt spid="_x0000_s18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1882" name="Button 858" hidden="1">
              <a:extLst>
                <a:ext uri="{63B3BB69-23CF-44E3-9099-C40C66FF867C}">
                  <a14:compatExt spid="_x0000_s18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1883" name="Button 859" hidden="1">
              <a:extLst>
                <a:ext uri="{63B3BB69-23CF-44E3-9099-C40C66FF867C}">
                  <a14:compatExt spid="_x0000_s1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1884" name="Button 860" hidden="1">
              <a:extLst>
                <a:ext uri="{63B3BB69-23CF-44E3-9099-C40C66FF867C}">
                  <a14:compatExt spid="_x0000_s18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1885" name="Button 861" hidden="1">
              <a:extLst>
                <a:ext uri="{63B3BB69-23CF-44E3-9099-C40C66FF867C}">
                  <a14:compatExt spid="_x0000_s18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1886" name="Button 862" hidden="1">
              <a:extLst>
                <a:ext uri="{63B3BB69-23CF-44E3-9099-C40C66FF867C}">
                  <a14:compatExt spid="_x0000_s1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1887" name="Button 863" hidden="1">
              <a:extLst>
                <a:ext uri="{63B3BB69-23CF-44E3-9099-C40C66FF867C}">
                  <a14:compatExt spid="_x0000_s18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1888" name="Button 864" hidden="1">
              <a:extLst>
                <a:ext uri="{63B3BB69-23CF-44E3-9099-C40C66FF867C}">
                  <a14:compatExt spid="_x0000_s18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1889" name="Button 865" hidden="1">
              <a:extLst>
                <a:ext uri="{63B3BB69-23CF-44E3-9099-C40C66FF867C}">
                  <a14:compatExt spid="_x0000_s1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1890" name="Button 866" hidden="1">
              <a:extLst>
                <a:ext uri="{63B3BB69-23CF-44E3-9099-C40C66FF867C}">
                  <a14:compatExt spid="_x0000_s18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1891" name="Button 867" hidden="1">
              <a:extLst>
                <a:ext uri="{63B3BB69-23CF-44E3-9099-C40C66FF867C}">
                  <a14:compatExt spid="_x0000_s18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1892" name="Button 868" hidden="1">
              <a:extLst>
                <a:ext uri="{63B3BB69-23CF-44E3-9099-C40C66FF867C}">
                  <a14:compatExt spid="_x0000_s1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1893" name="Button 869" hidden="1">
              <a:extLst>
                <a:ext uri="{63B3BB69-23CF-44E3-9099-C40C66FF867C}">
                  <a14:compatExt spid="_x0000_s18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1894" name="Button 870" hidden="1">
              <a:extLst>
                <a:ext uri="{63B3BB69-23CF-44E3-9099-C40C66FF867C}">
                  <a14:compatExt spid="_x0000_s1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1895" name="Button 871" hidden="1">
              <a:extLst>
                <a:ext uri="{63B3BB69-23CF-44E3-9099-C40C66FF867C}">
                  <a14:compatExt spid="_x0000_s18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1896" name="Button 872" hidden="1">
              <a:extLst>
                <a:ext uri="{63B3BB69-23CF-44E3-9099-C40C66FF867C}">
                  <a14:compatExt spid="_x0000_s1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1897" name="Button 873" hidden="1">
              <a:extLst>
                <a:ext uri="{63B3BB69-23CF-44E3-9099-C40C66FF867C}">
                  <a14:compatExt spid="_x0000_s18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1898" name="Button 874" hidden="1">
              <a:extLst>
                <a:ext uri="{63B3BB69-23CF-44E3-9099-C40C66FF867C}">
                  <a14:compatExt spid="_x0000_s18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1899" name="Button 875" hidden="1">
              <a:extLst>
                <a:ext uri="{63B3BB69-23CF-44E3-9099-C40C66FF867C}">
                  <a14:compatExt spid="_x0000_s1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1900" name="Button 876" hidden="1">
              <a:extLst>
                <a:ext uri="{63B3BB69-23CF-44E3-9099-C40C66FF867C}">
                  <a14:compatExt spid="_x0000_s19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1901" name="Button 877" hidden="1">
              <a:extLst>
                <a:ext uri="{63B3BB69-23CF-44E3-9099-C40C66FF867C}">
                  <a14:compatExt spid="_x0000_s1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1902" name="Button 878" hidden="1">
              <a:extLst>
                <a:ext uri="{63B3BB69-23CF-44E3-9099-C40C66FF867C}">
                  <a14:compatExt spid="_x0000_s1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1903" name="Button 879" hidden="1">
              <a:extLst>
                <a:ext uri="{63B3BB69-23CF-44E3-9099-C40C66FF867C}">
                  <a14:compatExt spid="_x0000_s1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1904" name="Button 880" hidden="1">
              <a:extLst>
                <a:ext uri="{63B3BB69-23CF-44E3-9099-C40C66FF867C}">
                  <a14:compatExt spid="_x0000_s19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1905" name="Button 881" hidden="1">
              <a:extLst>
                <a:ext uri="{63B3BB69-23CF-44E3-9099-C40C66FF867C}">
                  <a14:compatExt spid="_x0000_s1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1906" name="Button 882" hidden="1">
              <a:extLst>
                <a:ext uri="{63B3BB69-23CF-44E3-9099-C40C66FF867C}">
                  <a14:compatExt spid="_x0000_s19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1907" name="Button 883" hidden="1">
              <a:extLst>
                <a:ext uri="{63B3BB69-23CF-44E3-9099-C40C66FF867C}">
                  <a14:compatExt spid="_x0000_s19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1908" name="Button 884" hidden="1">
              <a:extLst>
                <a:ext uri="{63B3BB69-23CF-44E3-9099-C40C66FF867C}">
                  <a14:compatExt spid="_x0000_s1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1909" name="Button 885" hidden="1">
              <a:extLst>
                <a:ext uri="{63B3BB69-23CF-44E3-9099-C40C66FF867C}">
                  <a14:compatExt spid="_x0000_s19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1910" name="Button 886" hidden="1">
              <a:extLst>
                <a:ext uri="{63B3BB69-23CF-44E3-9099-C40C66FF867C}">
                  <a14:compatExt spid="_x0000_s19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1911" name="Button 887" hidden="1">
              <a:extLst>
                <a:ext uri="{63B3BB69-23CF-44E3-9099-C40C66FF867C}">
                  <a14:compatExt spid="_x0000_s1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1912" name="Button 888" hidden="1">
              <a:extLst>
                <a:ext uri="{63B3BB69-23CF-44E3-9099-C40C66FF867C}">
                  <a14:compatExt spid="_x0000_s19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1913" name="Button 889" hidden="1">
              <a:extLst>
                <a:ext uri="{63B3BB69-23CF-44E3-9099-C40C66FF867C}">
                  <a14:compatExt spid="_x0000_s19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1914" name="Button 890" hidden="1">
              <a:extLst>
                <a:ext uri="{63B3BB69-23CF-44E3-9099-C40C66FF867C}">
                  <a14:compatExt spid="_x0000_s1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1915" name="Button 891" hidden="1">
              <a:extLst>
                <a:ext uri="{63B3BB69-23CF-44E3-9099-C40C66FF867C}">
                  <a14:compatExt spid="_x0000_s19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1916" name="Button 892" hidden="1">
              <a:extLst>
                <a:ext uri="{63B3BB69-23CF-44E3-9099-C40C66FF867C}">
                  <a14:compatExt spid="_x0000_s19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1917" name="Button 893" hidden="1">
              <a:extLst>
                <a:ext uri="{63B3BB69-23CF-44E3-9099-C40C66FF867C}">
                  <a14:compatExt spid="_x0000_s1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1918" name="Button 894" hidden="1">
              <a:extLst>
                <a:ext uri="{63B3BB69-23CF-44E3-9099-C40C66FF867C}">
                  <a14:compatExt spid="_x0000_s19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1919" name="Button 895" hidden="1">
              <a:extLst>
                <a:ext uri="{63B3BB69-23CF-44E3-9099-C40C66FF867C}">
                  <a14:compatExt spid="_x0000_s1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1920" name="Button 896" hidden="1">
              <a:extLst>
                <a:ext uri="{63B3BB69-23CF-44E3-9099-C40C66FF867C}">
                  <a14:compatExt spid="_x0000_s1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1921" name="Button 897" hidden="1">
              <a:extLst>
                <a:ext uri="{63B3BB69-23CF-44E3-9099-C40C66FF867C}">
                  <a14:compatExt spid="_x0000_s1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1922" name="Button 898" hidden="1">
              <a:extLst>
                <a:ext uri="{63B3BB69-23CF-44E3-9099-C40C66FF867C}">
                  <a14:compatExt spid="_x0000_s1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1923" name="Button 899" hidden="1">
              <a:extLst>
                <a:ext uri="{63B3BB69-23CF-44E3-9099-C40C66FF867C}">
                  <a14:compatExt spid="_x0000_s19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1924" name="Button 900" hidden="1">
              <a:extLst>
                <a:ext uri="{63B3BB69-23CF-44E3-9099-C40C66FF867C}">
                  <a14:compatExt spid="_x0000_s1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1925" name="Button 901" hidden="1">
              <a:extLst>
                <a:ext uri="{63B3BB69-23CF-44E3-9099-C40C66FF867C}">
                  <a14:compatExt spid="_x0000_s19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1926" name="Button 902" hidden="1">
              <a:extLst>
                <a:ext uri="{63B3BB69-23CF-44E3-9099-C40C66FF867C}">
                  <a14:compatExt spid="_x0000_s1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1927" name="Button 903" hidden="1">
              <a:extLst>
                <a:ext uri="{63B3BB69-23CF-44E3-9099-C40C66FF867C}">
                  <a14:compatExt spid="_x0000_s19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1928" name="Button 904" hidden="1">
              <a:extLst>
                <a:ext uri="{63B3BB69-23CF-44E3-9099-C40C66FF867C}">
                  <a14:compatExt spid="_x0000_s1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1929" name="Button 905" hidden="1">
              <a:extLst>
                <a:ext uri="{63B3BB69-23CF-44E3-9099-C40C66FF867C}">
                  <a14:compatExt spid="_x0000_s19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1930" name="Button 906" hidden="1">
              <a:extLst>
                <a:ext uri="{63B3BB69-23CF-44E3-9099-C40C66FF867C}">
                  <a14:compatExt spid="_x0000_s1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1931" name="Button 907" hidden="1">
              <a:extLst>
                <a:ext uri="{63B3BB69-23CF-44E3-9099-C40C66FF867C}">
                  <a14:compatExt spid="_x0000_s1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1932" name="Button 908" hidden="1">
              <a:extLst>
                <a:ext uri="{63B3BB69-23CF-44E3-9099-C40C66FF867C}">
                  <a14:compatExt spid="_x0000_s1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1933" name="Button 909" hidden="1">
              <a:extLst>
                <a:ext uri="{63B3BB69-23CF-44E3-9099-C40C66FF867C}">
                  <a14:compatExt spid="_x0000_s1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1934" name="Button 910" hidden="1">
              <a:extLst>
                <a:ext uri="{63B3BB69-23CF-44E3-9099-C40C66FF867C}">
                  <a14:compatExt spid="_x0000_s1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1935" name="Button 911" hidden="1">
              <a:extLst>
                <a:ext uri="{63B3BB69-23CF-44E3-9099-C40C66FF867C}">
                  <a14:compatExt spid="_x0000_s1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1936" name="Button 912" hidden="1">
              <a:extLst>
                <a:ext uri="{63B3BB69-23CF-44E3-9099-C40C66FF867C}">
                  <a14:compatExt spid="_x0000_s1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1937" name="Button 913" hidden="1">
              <a:extLst>
                <a:ext uri="{63B3BB69-23CF-44E3-9099-C40C66FF867C}">
                  <a14:compatExt spid="_x0000_s1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1938" name="Button 914" hidden="1">
              <a:extLst>
                <a:ext uri="{63B3BB69-23CF-44E3-9099-C40C66FF867C}">
                  <a14:compatExt spid="_x0000_s1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1939" name="Button 915" hidden="1">
              <a:extLst>
                <a:ext uri="{63B3BB69-23CF-44E3-9099-C40C66FF867C}">
                  <a14:compatExt spid="_x0000_s1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1940" name="Button 916" hidden="1">
              <a:extLst>
                <a:ext uri="{63B3BB69-23CF-44E3-9099-C40C66FF867C}">
                  <a14:compatExt spid="_x0000_s1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1941" name="Button 917" hidden="1">
              <a:extLst>
                <a:ext uri="{63B3BB69-23CF-44E3-9099-C40C66FF867C}">
                  <a14:compatExt spid="_x0000_s1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1942" name="Button 918" hidden="1">
              <a:extLst>
                <a:ext uri="{63B3BB69-23CF-44E3-9099-C40C66FF867C}">
                  <a14:compatExt spid="_x0000_s1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1943" name="Button 919" hidden="1">
              <a:extLst>
                <a:ext uri="{63B3BB69-23CF-44E3-9099-C40C66FF867C}">
                  <a14:compatExt spid="_x0000_s1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1944" name="Button 920" hidden="1">
              <a:extLst>
                <a:ext uri="{63B3BB69-23CF-44E3-9099-C40C66FF867C}">
                  <a14:compatExt spid="_x0000_s1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1945" name="Button 921" hidden="1">
              <a:extLst>
                <a:ext uri="{63B3BB69-23CF-44E3-9099-C40C66FF867C}">
                  <a14:compatExt spid="_x0000_s1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1946" name="Button 922" hidden="1">
              <a:extLst>
                <a:ext uri="{63B3BB69-23CF-44E3-9099-C40C66FF867C}">
                  <a14:compatExt spid="_x0000_s1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1947" name="Button 923" hidden="1">
              <a:extLst>
                <a:ext uri="{63B3BB69-23CF-44E3-9099-C40C66FF867C}">
                  <a14:compatExt spid="_x0000_s1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1948" name="Button 924" hidden="1">
              <a:extLst>
                <a:ext uri="{63B3BB69-23CF-44E3-9099-C40C66FF867C}">
                  <a14:compatExt spid="_x0000_s1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1949" name="Button 925" hidden="1">
              <a:extLst>
                <a:ext uri="{63B3BB69-23CF-44E3-9099-C40C66FF867C}">
                  <a14:compatExt spid="_x0000_s1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1950" name="Button 926" hidden="1">
              <a:extLst>
                <a:ext uri="{63B3BB69-23CF-44E3-9099-C40C66FF867C}">
                  <a14:compatExt spid="_x0000_s1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1951" name="Button 927" hidden="1">
              <a:extLst>
                <a:ext uri="{63B3BB69-23CF-44E3-9099-C40C66FF867C}">
                  <a14:compatExt spid="_x0000_s1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1952" name="Button 928" hidden="1">
              <a:extLst>
                <a:ext uri="{63B3BB69-23CF-44E3-9099-C40C66FF867C}">
                  <a14:compatExt spid="_x0000_s1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1953" name="Button 929" hidden="1">
              <a:extLst>
                <a:ext uri="{63B3BB69-23CF-44E3-9099-C40C66FF867C}">
                  <a14:compatExt spid="_x0000_s1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1954" name="Button 930" hidden="1">
              <a:extLst>
                <a:ext uri="{63B3BB69-23CF-44E3-9099-C40C66FF867C}">
                  <a14:compatExt spid="_x0000_s1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1955" name="Button 931" hidden="1">
              <a:extLst>
                <a:ext uri="{63B3BB69-23CF-44E3-9099-C40C66FF867C}">
                  <a14:compatExt spid="_x0000_s1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1956" name="Button 932" hidden="1">
              <a:extLst>
                <a:ext uri="{63B3BB69-23CF-44E3-9099-C40C66FF867C}">
                  <a14:compatExt spid="_x0000_s1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1957" name="Button 933" hidden="1">
              <a:extLst>
                <a:ext uri="{63B3BB69-23CF-44E3-9099-C40C66FF867C}">
                  <a14:compatExt spid="_x0000_s1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1958" name="Button 934" hidden="1">
              <a:extLst>
                <a:ext uri="{63B3BB69-23CF-44E3-9099-C40C66FF867C}">
                  <a14:compatExt spid="_x0000_s1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1959" name="Button 935" hidden="1">
              <a:extLst>
                <a:ext uri="{63B3BB69-23CF-44E3-9099-C40C66FF867C}">
                  <a14:compatExt spid="_x0000_s1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1960" name="Button 936" hidden="1">
              <a:extLst>
                <a:ext uri="{63B3BB69-23CF-44E3-9099-C40C66FF867C}">
                  <a14:compatExt spid="_x0000_s1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1961" name="Button 937" hidden="1">
              <a:extLst>
                <a:ext uri="{63B3BB69-23CF-44E3-9099-C40C66FF867C}">
                  <a14:compatExt spid="_x0000_s1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1962" name="Button 938" hidden="1">
              <a:extLst>
                <a:ext uri="{63B3BB69-23CF-44E3-9099-C40C66FF867C}">
                  <a14:compatExt spid="_x0000_s1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1963" name="Button 939" hidden="1">
              <a:extLst>
                <a:ext uri="{63B3BB69-23CF-44E3-9099-C40C66FF867C}">
                  <a14:compatExt spid="_x0000_s1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1964" name="Button 940" hidden="1">
              <a:extLst>
                <a:ext uri="{63B3BB69-23CF-44E3-9099-C40C66FF867C}">
                  <a14:compatExt spid="_x0000_s1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1965" name="Button 941" hidden="1">
              <a:extLst>
                <a:ext uri="{63B3BB69-23CF-44E3-9099-C40C66FF867C}">
                  <a14:compatExt spid="_x0000_s1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1966" name="Button 942" hidden="1">
              <a:extLst>
                <a:ext uri="{63B3BB69-23CF-44E3-9099-C40C66FF867C}">
                  <a14:compatExt spid="_x0000_s1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1967" name="Button 943" hidden="1">
              <a:extLst>
                <a:ext uri="{63B3BB69-23CF-44E3-9099-C40C66FF867C}">
                  <a14:compatExt spid="_x0000_s1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1968" name="Button 944" hidden="1">
              <a:extLst>
                <a:ext uri="{63B3BB69-23CF-44E3-9099-C40C66FF867C}">
                  <a14:compatExt spid="_x0000_s1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1969" name="Button 945" hidden="1">
              <a:extLst>
                <a:ext uri="{63B3BB69-23CF-44E3-9099-C40C66FF867C}">
                  <a14:compatExt spid="_x0000_s1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1970" name="Button 946" hidden="1">
              <a:extLst>
                <a:ext uri="{63B3BB69-23CF-44E3-9099-C40C66FF867C}">
                  <a14:compatExt spid="_x0000_s1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1971" name="Button 947" hidden="1">
              <a:extLst>
                <a:ext uri="{63B3BB69-23CF-44E3-9099-C40C66FF867C}">
                  <a14:compatExt spid="_x0000_s1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1972" name="Button 948" hidden="1">
              <a:extLst>
                <a:ext uri="{63B3BB69-23CF-44E3-9099-C40C66FF867C}">
                  <a14:compatExt spid="_x0000_s1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1973" name="Button 949" hidden="1">
              <a:extLst>
                <a:ext uri="{63B3BB69-23CF-44E3-9099-C40C66FF867C}">
                  <a14:compatExt spid="_x0000_s1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1974" name="Button 950" hidden="1">
              <a:extLst>
                <a:ext uri="{63B3BB69-23CF-44E3-9099-C40C66FF867C}">
                  <a14:compatExt spid="_x0000_s1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1975" name="Button 951" hidden="1">
              <a:extLst>
                <a:ext uri="{63B3BB69-23CF-44E3-9099-C40C66FF867C}">
                  <a14:compatExt spid="_x0000_s1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1976" name="Button 952" hidden="1">
              <a:extLst>
                <a:ext uri="{63B3BB69-23CF-44E3-9099-C40C66FF867C}">
                  <a14:compatExt spid="_x0000_s1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1977" name="Button 953" hidden="1">
              <a:extLst>
                <a:ext uri="{63B3BB69-23CF-44E3-9099-C40C66FF867C}">
                  <a14:compatExt spid="_x0000_s1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1978" name="Button 954" hidden="1">
              <a:extLst>
                <a:ext uri="{63B3BB69-23CF-44E3-9099-C40C66FF867C}">
                  <a14:compatExt spid="_x0000_s1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1979" name="Button 955" hidden="1">
              <a:extLst>
                <a:ext uri="{63B3BB69-23CF-44E3-9099-C40C66FF867C}">
                  <a14:compatExt spid="_x0000_s1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1980" name="Button 956" hidden="1">
              <a:extLst>
                <a:ext uri="{63B3BB69-23CF-44E3-9099-C40C66FF867C}">
                  <a14:compatExt spid="_x0000_s1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1981" name="Button 957" hidden="1">
              <a:extLst>
                <a:ext uri="{63B3BB69-23CF-44E3-9099-C40C66FF867C}">
                  <a14:compatExt spid="_x0000_s1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1982" name="Button 958" hidden="1">
              <a:extLst>
                <a:ext uri="{63B3BB69-23CF-44E3-9099-C40C66FF867C}">
                  <a14:compatExt spid="_x0000_s1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1983" name="Button 959" hidden="1">
              <a:extLst>
                <a:ext uri="{63B3BB69-23CF-44E3-9099-C40C66FF867C}">
                  <a14:compatExt spid="_x0000_s1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1984" name="Button 960" hidden="1">
              <a:extLst>
                <a:ext uri="{63B3BB69-23CF-44E3-9099-C40C66FF867C}">
                  <a14:compatExt spid="_x0000_s1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1985" name="Button 961" hidden="1">
              <a:extLst>
                <a:ext uri="{63B3BB69-23CF-44E3-9099-C40C66FF867C}">
                  <a14:compatExt spid="_x0000_s1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1986" name="Button 962" hidden="1">
              <a:extLst>
                <a:ext uri="{63B3BB69-23CF-44E3-9099-C40C66FF867C}">
                  <a14:compatExt spid="_x0000_s1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1987" name="Button 963" hidden="1">
              <a:extLst>
                <a:ext uri="{63B3BB69-23CF-44E3-9099-C40C66FF867C}">
                  <a14:compatExt spid="_x0000_s1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1988" name="Button 964" hidden="1">
              <a:extLst>
                <a:ext uri="{63B3BB69-23CF-44E3-9099-C40C66FF867C}">
                  <a14:compatExt spid="_x0000_s1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1989" name="Button 965" hidden="1">
              <a:extLst>
                <a:ext uri="{63B3BB69-23CF-44E3-9099-C40C66FF867C}">
                  <a14:compatExt spid="_x0000_s1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1990" name="Button 966" hidden="1">
              <a:extLst>
                <a:ext uri="{63B3BB69-23CF-44E3-9099-C40C66FF867C}">
                  <a14:compatExt spid="_x0000_s1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1991" name="Button 967" hidden="1">
              <a:extLst>
                <a:ext uri="{63B3BB69-23CF-44E3-9099-C40C66FF867C}">
                  <a14:compatExt spid="_x0000_s1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1992" name="Button 968" hidden="1">
              <a:extLst>
                <a:ext uri="{63B3BB69-23CF-44E3-9099-C40C66FF867C}">
                  <a14:compatExt spid="_x0000_s1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1993" name="Button 969" hidden="1">
              <a:extLst>
                <a:ext uri="{63B3BB69-23CF-44E3-9099-C40C66FF867C}">
                  <a14:compatExt spid="_x0000_s1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1994" name="Button 970" hidden="1">
              <a:extLst>
                <a:ext uri="{63B3BB69-23CF-44E3-9099-C40C66FF867C}">
                  <a14:compatExt spid="_x0000_s1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1995" name="Button 971" hidden="1">
              <a:extLst>
                <a:ext uri="{63B3BB69-23CF-44E3-9099-C40C66FF867C}">
                  <a14:compatExt spid="_x0000_s1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1996" name="Button 972" hidden="1">
              <a:extLst>
                <a:ext uri="{63B3BB69-23CF-44E3-9099-C40C66FF867C}">
                  <a14:compatExt spid="_x0000_s1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1997" name="Button 973" hidden="1">
              <a:extLst>
                <a:ext uri="{63B3BB69-23CF-44E3-9099-C40C66FF867C}">
                  <a14:compatExt spid="_x0000_s1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1998" name="Button 974" hidden="1">
              <a:extLst>
                <a:ext uri="{63B3BB69-23CF-44E3-9099-C40C66FF867C}">
                  <a14:compatExt spid="_x0000_s1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1999" name="Button 975" hidden="1">
              <a:extLst>
                <a:ext uri="{63B3BB69-23CF-44E3-9099-C40C66FF867C}">
                  <a14:compatExt spid="_x0000_s1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000" name="Button 976" hidden="1">
              <a:extLst>
                <a:ext uri="{63B3BB69-23CF-44E3-9099-C40C66FF867C}">
                  <a14:compatExt spid="_x0000_s2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001" name="Button 977" hidden="1">
              <a:extLst>
                <a:ext uri="{63B3BB69-23CF-44E3-9099-C40C66FF867C}">
                  <a14:compatExt spid="_x0000_s2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002" name="Button 978" hidden="1">
              <a:extLst>
                <a:ext uri="{63B3BB69-23CF-44E3-9099-C40C66FF867C}">
                  <a14:compatExt spid="_x0000_s2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003" name="Button 979" hidden="1">
              <a:extLst>
                <a:ext uri="{63B3BB69-23CF-44E3-9099-C40C66FF867C}">
                  <a14:compatExt spid="_x0000_s2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004" name="Button 980" hidden="1">
              <a:extLst>
                <a:ext uri="{63B3BB69-23CF-44E3-9099-C40C66FF867C}">
                  <a14:compatExt spid="_x0000_s2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005" name="Button 981" hidden="1">
              <a:extLst>
                <a:ext uri="{63B3BB69-23CF-44E3-9099-C40C66FF867C}">
                  <a14:compatExt spid="_x0000_s2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006" name="Button 982" hidden="1">
              <a:extLst>
                <a:ext uri="{63B3BB69-23CF-44E3-9099-C40C66FF867C}">
                  <a14:compatExt spid="_x0000_s2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007" name="Button 983" hidden="1">
              <a:extLst>
                <a:ext uri="{63B3BB69-23CF-44E3-9099-C40C66FF867C}">
                  <a14:compatExt spid="_x0000_s2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008" name="Button 984" hidden="1">
              <a:extLst>
                <a:ext uri="{63B3BB69-23CF-44E3-9099-C40C66FF867C}">
                  <a14:compatExt spid="_x0000_s2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009" name="Button 985" hidden="1">
              <a:extLst>
                <a:ext uri="{63B3BB69-23CF-44E3-9099-C40C66FF867C}">
                  <a14:compatExt spid="_x0000_s2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010" name="Button 986" hidden="1">
              <a:extLst>
                <a:ext uri="{63B3BB69-23CF-44E3-9099-C40C66FF867C}">
                  <a14:compatExt spid="_x0000_s2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011" name="Button 987" hidden="1">
              <a:extLst>
                <a:ext uri="{63B3BB69-23CF-44E3-9099-C40C66FF867C}">
                  <a14:compatExt spid="_x0000_s2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012" name="Button 988" hidden="1">
              <a:extLst>
                <a:ext uri="{63B3BB69-23CF-44E3-9099-C40C66FF867C}">
                  <a14:compatExt spid="_x0000_s2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013" name="Button 989" hidden="1">
              <a:extLst>
                <a:ext uri="{63B3BB69-23CF-44E3-9099-C40C66FF867C}">
                  <a14:compatExt spid="_x0000_s2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014" name="Button 990" hidden="1">
              <a:extLst>
                <a:ext uri="{63B3BB69-23CF-44E3-9099-C40C66FF867C}">
                  <a14:compatExt spid="_x0000_s2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015" name="Button 991" hidden="1">
              <a:extLst>
                <a:ext uri="{63B3BB69-23CF-44E3-9099-C40C66FF867C}">
                  <a14:compatExt spid="_x0000_s2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016" name="Button 992" hidden="1">
              <a:extLst>
                <a:ext uri="{63B3BB69-23CF-44E3-9099-C40C66FF867C}">
                  <a14:compatExt spid="_x0000_s2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017" name="Button 993" hidden="1">
              <a:extLst>
                <a:ext uri="{63B3BB69-23CF-44E3-9099-C40C66FF867C}">
                  <a14:compatExt spid="_x0000_s2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018" name="Button 994" hidden="1">
              <a:extLst>
                <a:ext uri="{63B3BB69-23CF-44E3-9099-C40C66FF867C}">
                  <a14:compatExt spid="_x0000_s2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019" name="Button 995" hidden="1">
              <a:extLst>
                <a:ext uri="{63B3BB69-23CF-44E3-9099-C40C66FF867C}">
                  <a14:compatExt spid="_x0000_s2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020" name="Button 996" hidden="1">
              <a:extLst>
                <a:ext uri="{63B3BB69-23CF-44E3-9099-C40C66FF867C}">
                  <a14:compatExt spid="_x0000_s2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021" name="Button 997" hidden="1">
              <a:extLst>
                <a:ext uri="{63B3BB69-23CF-44E3-9099-C40C66FF867C}">
                  <a14:compatExt spid="_x0000_s2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022" name="Button 998" hidden="1">
              <a:extLst>
                <a:ext uri="{63B3BB69-23CF-44E3-9099-C40C66FF867C}">
                  <a14:compatExt spid="_x0000_s2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023" name="Button 999" hidden="1">
              <a:extLst>
                <a:ext uri="{63B3BB69-23CF-44E3-9099-C40C66FF867C}">
                  <a14:compatExt spid="_x0000_s2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024" name="Button 1000" hidden="1">
              <a:extLst>
                <a:ext uri="{63B3BB69-23CF-44E3-9099-C40C66FF867C}">
                  <a14:compatExt spid="_x0000_s2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025" name="Button 1001" hidden="1">
              <a:extLst>
                <a:ext uri="{63B3BB69-23CF-44E3-9099-C40C66FF867C}">
                  <a14:compatExt spid="_x0000_s2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026" name="Button 1002" hidden="1">
              <a:extLst>
                <a:ext uri="{63B3BB69-23CF-44E3-9099-C40C66FF867C}">
                  <a14:compatExt spid="_x0000_s2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027" name="Button 1003" hidden="1">
              <a:extLst>
                <a:ext uri="{63B3BB69-23CF-44E3-9099-C40C66FF867C}">
                  <a14:compatExt spid="_x0000_s2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028" name="Button 1004" hidden="1">
              <a:extLst>
                <a:ext uri="{63B3BB69-23CF-44E3-9099-C40C66FF867C}">
                  <a14:compatExt spid="_x0000_s20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029" name="Button 1005" hidden="1">
              <a:extLst>
                <a:ext uri="{63B3BB69-23CF-44E3-9099-C40C66FF867C}">
                  <a14:compatExt spid="_x0000_s2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030" name="Button 1006" hidden="1">
              <a:extLst>
                <a:ext uri="{63B3BB69-23CF-44E3-9099-C40C66FF867C}">
                  <a14:compatExt spid="_x0000_s20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031" name="Button 1007" hidden="1">
              <a:extLst>
                <a:ext uri="{63B3BB69-23CF-44E3-9099-C40C66FF867C}">
                  <a14:compatExt spid="_x0000_s2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032" name="Button 1008" hidden="1">
              <a:extLst>
                <a:ext uri="{63B3BB69-23CF-44E3-9099-C40C66FF867C}">
                  <a14:compatExt spid="_x0000_s2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033" name="Button 1009" hidden="1">
              <a:extLst>
                <a:ext uri="{63B3BB69-23CF-44E3-9099-C40C66FF867C}">
                  <a14:compatExt spid="_x0000_s2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034" name="Button 1010" hidden="1">
              <a:extLst>
                <a:ext uri="{63B3BB69-23CF-44E3-9099-C40C66FF867C}">
                  <a14:compatExt spid="_x0000_s2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035" name="Button 1011" hidden="1">
              <a:extLst>
                <a:ext uri="{63B3BB69-23CF-44E3-9099-C40C66FF867C}">
                  <a14:compatExt spid="_x0000_s2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036" name="Button 1012" hidden="1">
              <a:extLst>
                <a:ext uri="{63B3BB69-23CF-44E3-9099-C40C66FF867C}">
                  <a14:compatExt spid="_x0000_s2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037" name="Button 1013" hidden="1">
              <a:extLst>
                <a:ext uri="{63B3BB69-23CF-44E3-9099-C40C66FF867C}">
                  <a14:compatExt spid="_x0000_s2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038" name="Button 1014" hidden="1">
              <a:extLst>
                <a:ext uri="{63B3BB69-23CF-44E3-9099-C40C66FF867C}">
                  <a14:compatExt spid="_x0000_s2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039" name="Button 1015" hidden="1">
              <a:extLst>
                <a:ext uri="{63B3BB69-23CF-44E3-9099-C40C66FF867C}">
                  <a14:compatExt spid="_x0000_s2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040" name="Button 1016" hidden="1">
              <a:extLst>
                <a:ext uri="{63B3BB69-23CF-44E3-9099-C40C66FF867C}">
                  <a14:compatExt spid="_x0000_s2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041" name="Button 1017" hidden="1">
              <a:extLst>
                <a:ext uri="{63B3BB69-23CF-44E3-9099-C40C66FF867C}">
                  <a14:compatExt spid="_x0000_s20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042" name="Button 1018" hidden="1">
              <a:extLst>
                <a:ext uri="{63B3BB69-23CF-44E3-9099-C40C66FF867C}">
                  <a14:compatExt spid="_x0000_s2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043" name="Button 1019" hidden="1">
              <a:extLst>
                <a:ext uri="{63B3BB69-23CF-44E3-9099-C40C66FF867C}">
                  <a14:compatExt spid="_x0000_s20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044" name="Button 1020" hidden="1">
              <a:extLst>
                <a:ext uri="{63B3BB69-23CF-44E3-9099-C40C66FF867C}">
                  <a14:compatExt spid="_x0000_s2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045" name="Button 1021" hidden="1">
              <a:extLst>
                <a:ext uri="{63B3BB69-23CF-44E3-9099-C40C66FF867C}">
                  <a14:compatExt spid="_x0000_s2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046" name="Button 1022" hidden="1">
              <a:extLst>
                <a:ext uri="{63B3BB69-23CF-44E3-9099-C40C66FF867C}">
                  <a14:compatExt spid="_x0000_s2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047" name="Button 1023" hidden="1">
              <a:extLst>
                <a:ext uri="{63B3BB69-23CF-44E3-9099-C40C66FF867C}">
                  <a14:compatExt spid="_x0000_s2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048" name="Button 1024" hidden="1">
              <a:extLst>
                <a:ext uri="{63B3BB69-23CF-44E3-9099-C40C66FF867C}">
                  <a14:compatExt spid="_x0000_s2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049" name="Button 1025"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050" name="Button 1026"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051" name="Button 1027"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052" name="Button 1028"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053" name="Button 1029"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054" name="Button 1030"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055" name="Button 1031"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056" name="Button 1032"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057" name="Button 1033"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058" name="Button 1034"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059" name="Button 1035"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060" name="Button 1036"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061" name="Button 1037" hidden="1">
              <a:extLst>
                <a:ext uri="{63B3BB69-23CF-44E3-9099-C40C66FF867C}">
                  <a14:compatExt spid="_x0000_s2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062" name="Button 1038" hidden="1">
              <a:extLst>
                <a:ext uri="{63B3BB69-23CF-44E3-9099-C40C66FF867C}">
                  <a14:compatExt spid="_x0000_s2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063" name="Button 1039" hidden="1">
              <a:extLst>
                <a:ext uri="{63B3BB69-23CF-44E3-9099-C40C66FF867C}">
                  <a14:compatExt spid="_x0000_s2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064" name="Button 1040" hidden="1">
              <a:extLst>
                <a:ext uri="{63B3BB69-23CF-44E3-9099-C40C66FF867C}">
                  <a14:compatExt spid="_x0000_s2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065" name="Button 1041" hidden="1">
              <a:extLst>
                <a:ext uri="{63B3BB69-23CF-44E3-9099-C40C66FF867C}">
                  <a14:compatExt spid="_x0000_s2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066" name="Button 1042" hidden="1">
              <a:extLst>
                <a:ext uri="{63B3BB69-23CF-44E3-9099-C40C66FF867C}">
                  <a14:compatExt spid="_x0000_s2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067" name="Button 1043" hidden="1">
              <a:extLst>
                <a:ext uri="{63B3BB69-23CF-44E3-9099-C40C66FF867C}">
                  <a14:compatExt spid="_x0000_s20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2068" name="Button 1044"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069" name="Button 1045"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070" name="Button 1046"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071" name="Button 1047"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2072" name="Button 1048"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073" name="Button 1049"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074" name="Button 1050"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2075" name="Button 1051"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076" name="Button 1052"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10</xdr:col>
          <xdr:colOff>0</xdr:colOff>
          <xdr:row>2265</xdr:row>
          <xdr:rowOff>0</xdr:rowOff>
        </xdr:to>
        <xdr:sp macro="" textlink="">
          <xdr:nvSpPr>
            <xdr:cNvPr id="2077" name="Button 1053"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078" name="Button 1054" hidden="1">
              <a:extLst>
                <a:ext uri="{63B3BB69-23CF-44E3-9099-C40C66FF867C}">
                  <a14:compatExt spid="_x0000_s2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079" name="Button 1055"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080" name="Button 1056" hidden="1">
              <a:extLst>
                <a:ext uri="{63B3BB69-23CF-44E3-9099-C40C66FF867C}">
                  <a14:compatExt spid="_x0000_s2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081" name="Button 1057" hidden="1">
              <a:extLst>
                <a:ext uri="{63B3BB69-23CF-44E3-9099-C40C66FF867C}">
                  <a14:compatExt spid="_x0000_s2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082" name="Button 1058" hidden="1">
              <a:extLst>
                <a:ext uri="{63B3BB69-23CF-44E3-9099-C40C66FF867C}">
                  <a14:compatExt spid="_x0000_s2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083" name="Button 1059" hidden="1">
              <a:extLst>
                <a:ext uri="{63B3BB69-23CF-44E3-9099-C40C66FF867C}">
                  <a14:compatExt spid="_x0000_s2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2084" name="Button 1060" hidden="1">
              <a:extLst>
                <a:ext uri="{63B3BB69-23CF-44E3-9099-C40C66FF867C}">
                  <a14:compatExt spid="_x0000_s2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085" name="Button 1061" hidden="1">
              <a:extLst>
                <a:ext uri="{63B3BB69-23CF-44E3-9099-C40C66FF867C}">
                  <a14:compatExt spid="_x0000_s2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086" name="Button 1062" hidden="1">
              <a:extLst>
                <a:ext uri="{63B3BB69-23CF-44E3-9099-C40C66FF867C}">
                  <a14:compatExt spid="_x0000_s2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2087" name="Button 1063" hidden="1">
              <a:extLst>
                <a:ext uri="{63B3BB69-23CF-44E3-9099-C40C66FF867C}">
                  <a14:compatExt spid="_x0000_s2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2088" name="Button 1064" hidden="1">
              <a:extLst>
                <a:ext uri="{63B3BB69-23CF-44E3-9099-C40C66FF867C}">
                  <a14:compatExt spid="_x0000_s2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089" name="Button 1065" hidden="1">
              <a:extLst>
                <a:ext uri="{63B3BB69-23CF-44E3-9099-C40C66FF867C}">
                  <a14:compatExt spid="_x0000_s2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090" name="Button 1066" hidden="1">
              <a:extLst>
                <a:ext uri="{63B3BB69-23CF-44E3-9099-C40C66FF867C}">
                  <a14:compatExt spid="_x0000_s2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2091" name="Button 1067" hidden="1">
              <a:extLst>
                <a:ext uri="{63B3BB69-23CF-44E3-9099-C40C66FF867C}">
                  <a14:compatExt spid="_x0000_s2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092" name="Button 1068" hidden="1">
              <a:extLst>
                <a:ext uri="{63B3BB69-23CF-44E3-9099-C40C66FF867C}">
                  <a14:compatExt spid="_x0000_s2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093" name="Button 1069" hidden="1">
              <a:extLst>
                <a:ext uri="{63B3BB69-23CF-44E3-9099-C40C66FF867C}">
                  <a14:compatExt spid="_x0000_s2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094" name="Button 1070" hidden="1">
              <a:extLst>
                <a:ext uri="{63B3BB69-23CF-44E3-9099-C40C66FF867C}">
                  <a14:compatExt spid="_x0000_s2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095" name="Button 1071" hidden="1">
              <a:extLst>
                <a:ext uri="{63B3BB69-23CF-44E3-9099-C40C66FF867C}">
                  <a14:compatExt spid="_x0000_s2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096" name="Button 1072" hidden="1">
              <a:extLst>
                <a:ext uri="{63B3BB69-23CF-44E3-9099-C40C66FF867C}">
                  <a14:compatExt spid="_x0000_s2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097" name="Button 1073" hidden="1">
              <a:extLst>
                <a:ext uri="{63B3BB69-23CF-44E3-9099-C40C66FF867C}">
                  <a14:compatExt spid="_x0000_s2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098" name="Button 1074" hidden="1">
              <a:extLst>
                <a:ext uri="{63B3BB69-23CF-44E3-9099-C40C66FF867C}">
                  <a14:compatExt spid="_x0000_s2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099" name="Button 1075" hidden="1">
              <a:extLst>
                <a:ext uri="{63B3BB69-23CF-44E3-9099-C40C66FF867C}">
                  <a14:compatExt spid="_x0000_s2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100" name="Button 1076" hidden="1">
              <a:extLst>
                <a:ext uri="{63B3BB69-23CF-44E3-9099-C40C66FF867C}">
                  <a14:compatExt spid="_x0000_s2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101" name="Button 1077" hidden="1">
              <a:extLst>
                <a:ext uri="{63B3BB69-23CF-44E3-9099-C40C66FF867C}">
                  <a14:compatExt spid="_x0000_s2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102" name="Button 1078" hidden="1">
              <a:extLst>
                <a:ext uri="{63B3BB69-23CF-44E3-9099-C40C66FF867C}">
                  <a14:compatExt spid="_x0000_s2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103" name="Button 1079" hidden="1">
              <a:extLst>
                <a:ext uri="{63B3BB69-23CF-44E3-9099-C40C66FF867C}">
                  <a14:compatExt spid="_x0000_s2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104" name="Button 1080" hidden="1">
              <a:extLst>
                <a:ext uri="{63B3BB69-23CF-44E3-9099-C40C66FF867C}">
                  <a14:compatExt spid="_x0000_s2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105" name="Button 1081" hidden="1">
              <a:extLst>
                <a:ext uri="{63B3BB69-23CF-44E3-9099-C40C66FF867C}">
                  <a14:compatExt spid="_x0000_s2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2106" name="Button 1082" hidden="1">
              <a:extLst>
                <a:ext uri="{63B3BB69-23CF-44E3-9099-C40C66FF867C}">
                  <a14:compatExt spid="_x0000_s2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2107" name="Button 1083" hidden="1">
              <a:extLst>
                <a:ext uri="{63B3BB69-23CF-44E3-9099-C40C66FF867C}">
                  <a14:compatExt spid="_x0000_s2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10</xdr:col>
          <xdr:colOff>0</xdr:colOff>
          <xdr:row>2305</xdr:row>
          <xdr:rowOff>0</xdr:rowOff>
        </xdr:to>
        <xdr:sp macro="" textlink="">
          <xdr:nvSpPr>
            <xdr:cNvPr id="2108" name="Button 1084" hidden="1">
              <a:extLst>
                <a:ext uri="{63B3BB69-23CF-44E3-9099-C40C66FF867C}">
                  <a14:compatExt spid="_x0000_s2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2109" name="Button 1085" hidden="1">
              <a:extLst>
                <a:ext uri="{63B3BB69-23CF-44E3-9099-C40C66FF867C}">
                  <a14:compatExt spid="_x0000_s2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2110" name="Button 1086" hidden="1">
              <a:extLst>
                <a:ext uri="{63B3BB69-23CF-44E3-9099-C40C66FF867C}">
                  <a14:compatExt spid="_x0000_s2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111" name="Button 1087" hidden="1">
              <a:extLst>
                <a:ext uri="{63B3BB69-23CF-44E3-9099-C40C66FF867C}">
                  <a14:compatExt spid="_x0000_s2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2112" name="Button 1088" hidden="1">
              <a:extLst>
                <a:ext uri="{63B3BB69-23CF-44E3-9099-C40C66FF867C}">
                  <a14:compatExt spid="_x0000_s2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113" name="Button 1089" hidden="1">
              <a:extLst>
                <a:ext uri="{63B3BB69-23CF-44E3-9099-C40C66FF867C}">
                  <a14:compatExt spid="_x0000_s2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114" name="Button 1090" hidden="1">
              <a:extLst>
                <a:ext uri="{63B3BB69-23CF-44E3-9099-C40C66FF867C}">
                  <a14:compatExt spid="_x0000_s2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2115" name="Button 1091" hidden="1">
              <a:extLst>
                <a:ext uri="{63B3BB69-23CF-44E3-9099-C40C66FF867C}">
                  <a14:compatExt spid="_x0000_s21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2116" name="Button 1092" hidden="1">
              <a:extLst>
                <a:ext uri="{63B3BB69-23CF-44E3-9099-C40C66FF867C}">
                  <a14:compatExt spid="_x0000_s2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117" name="Button 1093" hidden="1">
              <a:extLst>
                <a:ext uri="{63B3BB69-23CF-44E3-9099-C40C66FF867C}">
                  <a14:compatExt spid="_x0000_s21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2118" name="Button 1094" hidden="1">
              <a:extLst>
                <a:ext uri="{63B3BB69-23CF-44E3-9099-C40C66FF867C}">
                  <a14:compatExt spid="_x0000_s2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2119" name="Button 1095" hidden="1">
              <a:extLst>
                <a:ext uri="{63B3BB69-23CF-44E3-9099-C40C66FF867C}">
                  <a14:compatExt spid="_x0000_s2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2120" name="Button 1096" hidden="1">
              <a:extLst>
                <a:ext uri="{63B3BB69-23CF-44E3-9099-C40C66FF867C}">
                  <a14:compatExt spid="_x0000_s2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2121" name="Button 1097" hidden="1">
              <a:extLst>
                <a:ext uri="{63B3BB69-23CF-44E3-9099-C40C66FF867C}">
                  <a14:compatExt spid="_x0000_s21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2122" name="Button 1098" hidden="1">
              <a:extLst>
                <a:ext uri="{63B3BB69-23CF-44E3-9099-C40C66FF867C}">
                  <a14:compatExt spid="_x0000_s2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2123" name="Button 1099" hidden="1">
              <a:extLst>
                <a:ext uri="{63B3BB69-23CF-44E3-9099-C40C66FF867C}">
                  <a14:compatExt spid="_x0000_s21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2124" name="Button 1100" hidden="1">
              <a:extLst>
                <a:ext uri="{63B3BB69-23CF-44E3-9099-C40C66FF867C}">
                  <a14:compatExt spid="_x0000_s2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125" name="Button 1101" hidden="1">
              <a:extLst>
                <a:ext uri="{63B3BB69-23CF-44E3-9099-C40C66FF867C}">
                  <a14:compatExt spid="_x0000_s21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126" name="Button 1102" hidden="1">
              <a:extLst>
                <a:ext uri="{63B3BB69-23CF-44E3-9099-C40C66FF867C}">
                  <a14:compatExt spid="_x0000_s2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2127" name="Button 1103" hidden="1">
              <a:extLst>
                <a:ext uri="{63B3BB69-23CF-44E3-9099-C40C66FF867C}">
                  <a14:compatExt spid="_x0000_s21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128" name="Button 1104" hidden="1">
              <a:extLst>
                <a:ext uri="{63B3BB69-23CF-44E3-9099-C40C66FF867C}">
                  <a14:compatExt spid="_x0000_s21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129" name="Button 1105" hidden="1">
              <a:extLst>
                <a:ext uri="{63B3BB69-23CF-44E3-9099-C40C66FF867C}">
                  <a14:compatExt spid="_x0000_s2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130" name="Button 1106" hidden="1">
              <a:extLst>
                <a:ext uri="{63B3BB69-23CF-44E3-9099-C40C66FF867C}">
                  <a14:compatExt spid="_x0000_s21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131" name="Button 1107" hidden="1">
              <a:extLst>
                <a:ext uri="{63B3BB69-23CF-44E3-9099-C40C66FF867C}">
                  <a14:compatExt spid="_x0000_s2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132" name="Button 1108" hidden="1">
              <a:extLst>
                <a:ext uri="{63B3BB69-23CF-44E3-9099-C40C66FF867C}">
                  <a14:compatExt spid="_x0000_s21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133" name="Button 1109" hidden="1">
              <a:extLst>
                <a:ext uri="{63B3BB69-23CF-44E3-9099-C40C66FF867C}">
                  <a14:compatExt spid="_x0000_s2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134" name="Button 1110" hidden="1">
              <a:extLst>
                <a:ext uri="{63B3BB69-23CF-44E3-9099-C40C66FF867C}">
                  <a14:compatExt spid="_x0000_s21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135" name="Button 1111" hidden="1">
              <a:extLst>
                <a:ext uri="{63B3BB69-23CF-44E3-9099-C40C66FF867C}">
                  <a14:compatExt spid="_x0000_s21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136" name="Button 1112" hidden="1">
              <a:extLst>
                <a:ext uri="{63B3BB69-23CF-44E3-9099-C40C66FF867C}">
                  <a14:compatExt spid="_x0000_s2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137" name="Button 1113" hidden="1">
              <a:extLst>
                <a:ext uri="{63B3BB69-23CF-44E3-9099-C40C66FF867C}">
                  <a14:compatExt spid="_x0000_s21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2138" name="Button 1114" hidden="1">
              <a:extLst>
                <a:ext uri="{63B3BB69-23CF-44E3-9099-C40C66FF867C}">
                  <a14:compatExt spid="_x0000_s21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2139" name="Button 1115" hidden="1">
              <a:extLst>
                <a:ext uri="{63B3BB69-23CF-44E3-9099-C40C66FF867C}">
                  <a14:compatExt spid="_x0000_s2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140" name="Button 1116" hidden="1">
              <a:extLst>
                <a:ext uri="{63B3BB69-23CF-44E3-9099-C40C66FF867C}">
                  <a14:compatExt spid="_x0000_s21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141" name="Button 1117" hidden="1">
              <a:extLst>
                <a:ext uri="{63B3BB69-23CF-44E3-9099-C40C66FF867C}">
                  <a14:compatExt spid="_x0000_s21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142" name="Button 1118" hidden="1">
              <a:extLst>
                <a:ext uri="{63B3BB69-23CF-44E3-9099-C40C66FF867C}">
                  <a14:compatExt spid="_x0000_s2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2143" name="Button 1119" hidden="1">
              <a:extLst>
                <a:ext uri="{63B3BB69-23CF-44E3-9099-C40C66FF867C}">
                  <a14:compatExt spid="_x0000_s21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144" name="Button 1120" hidden="1">
              <a:extLst>
                <a:ext uri="{63B3BB69-23CF-44E3-9099-C40C66FF867C}">
                  <a14:compatExt spid="_x0000_s21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145" name="Button 1121" hidden="1">
              <a:extLst>
                <a:ext uri="{63B3BB69-23CF-44E3-9099-C40C66FF867C}">
                  <a14:compatExt spid="_x0000_s2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146" name="Button 1122" hidden="1">
              <a:extLst>
                <a:ext uri="{63B3BB69-23CF-44E3-9099-C40C66FF867C}">
                  <a14:compatExt spid="_x0000_s21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2147" name="Button 1123" hidden="1">
              <a:extLst>
                <a:ext uri="{63B3BB69-23CF-44E3-9099-C40C66FF867C}">
                  <a14:compatExt spid="_x0000_s21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2148" name="Button 1124" hidden="1">
              <a:extLst>
                <a:ext uri="{63B3BB69-23CF-44E3-9099-C40C66FF867C}">
                  <a14:compatExt spid="_x0000_s2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149" name="Button 1125" hidden="1">
              <a:extLst>
                <a:ext uri="{63B3BB69-23CF-44E3-9099-C40C66FF867C}">
                  <a14:compatExt spid="_x0000_s2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150" name="Button 1126" hidden="1">
              <a:extLst>
                <a:ext uri="{63B3BB69-23CF-44E3-9099-C40C66FF867C}">
                  <a14:compatExt spid="_x0000_s21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151" name="Button 1127" hidden="1">
              <a:extLst>
                <a:ext uri="{63B3BB69-23CF-44E3-9099-C40C66FF867C}">
                  <a14:compatExt spid="_x0000_s2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152" name="Button 1128" hidden="1">
              <a:extLst>
                <a:ext uri="{63B3BB69-23CF-44E3-9099-C40C66FF867C}">
                  <a14:compatExt spid="_x0000_s21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2153" name="Button 1129" hidden="1">
              <a:extLst>
                <a:ext uri="{63B3BB69-23CF-44E3-9099-C40C66FF867C}">
                  <a14:compatExt spid="_x0000_s21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154" name="Button 1130" hidden="1">
              <a:extLst>
                <a:ext uri="{63B3BB69-23CF-44E3-9099-C40C66FF867C}">
                  <a14:compatExt spid="_x0000_s2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155" name="Button 1131" hidden="1">
              <a:extLst>
                <a:ext uri="{63B3BB69-23CF-44E3-9099-C40C66FF867C}">
                  <a14:compatExt spid="_x0000_s21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2156" name="Button 1132" hidden="1">
              <a:extLst>
                <a:ext uri="{63B3BB69-23CF-44E3-9099-C40C66FF867C}">
                  <a14:compatExt spid="_x0000_s21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157" name="Button 1133" hidden="1">
              <a:extLst>
                <a:ext uri="{63B3BB69-23CF-44E3-9099-C40C66FF867C}">
                  <a14:compatExt spid="_x0000_s2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2158" name="Button 1134" hidden="1">
              <a:extLst>
                <a:ext uri="{63B3BB69-23CF-44E3-9099-C40C66FF867C}">
                  <a14:compatExt spid="_x0000_s21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159" name="Button 1135" hidden="1">
              <a:extLst>
                <a:ext uri="{63B3BB69-23CF-44E3-9099-C40C66FF867C}">
                  <a14:compatExt spid="_x0000_s21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160" name="Button 1136" hidden="1">
              <a:extLst>
                <a:ext uri="{63B3BB69-23CF-44E3-9099-C40C66FF867C}">
                  <a14:compatExt spid="_x0000_s2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161" name="Button 1137" hidden="1">
              <a:extLst>
                <a:ext uri="{63B3BB69-23CF-44E3-9099-C40C66FF867C}">
                  <a14:compatExt spid="_x0000_s21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162" name="Button 1138" hidden="1">
              <a:extLst>
                <a:ext uri="{63B3BB69-23CF-44E3-9099-C40C66FF867C}">
                  <a14:compatExt spid="_x0000_s21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163" name="Button 1139" hidden="1">
              <a:extLst>
                <a:ext uri="{63B3BB69-23CF-44E3-9099-C40C66FF867C}">
                  <a14:compatExt spid="_x0000_s2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164" name="Button 1140" hidden="1">
              <a:extLst>
                <a:ext uri="{63B3BB69-23CF-44E3-9099-C40C66FF867C}">
                  <a14:compatExt spid="_x0000_s21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165" name="Button 1141" hidden="1">
              <a:extLst>
                <a:ext uri="{63B3BB69-23CF-44E3-9099-C40C66FF867C}">
                  <a14:compatExt spid="_x0000_s21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166" name="Button 1142" hidden="1">
              <a:extLst>
                <a:ext uri="{63B3BB69-23CF-44E3-9099-C40C66FF867C}">
                  <a14:compatExt spid="_x0000_s2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167" name="Button 1143" hidden="1">
              <a:extLst>
                <a:ext uri="{63B3BB69-23CF-44E3-9099-C40C66FF867C}">
                  <a14:compatExt spid="_x0000_s21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2168" name="Button 1144" hidden="1">
              <a:extLst>
                <a:ext uri="{63B3BB69-23CF-44E3-9099-C40C66FF867C}">
                  <a14:compatExt spid="_x0000_s21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2169" name="Button 1145" hidden="1">
              <a:extLst>
                <a:ext uri="{63B3BB69-23CF-44E3-9099-C40C66FF867C}">
                  <a14:compatExt spid="_x0000_s2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2170" name="Button 1146" hidden="1">
              <a:extLst>
                <a:ext uri="{63B3BB69-23CF-44E3-9099-C40C66FF867C}">
                  <a14:compatExt spid="_x0000_s21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2171" name="Button 1147" hidden="1">
              <a:extLst>
                <a:ext uri="{63B3BB69-23CF-44E3-9099-C40C66FF867C}">
                  <a14:compatExt spid="_x0000_s21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2172" name="Button 1148" hidden="1">
              <a:extLst>
                <a:ext uri="{63B3BB69-23CF-44E3-9099-C40C66FF867C}">
                  <a14:compatExt spid="_x0000_s2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2173" name="Button 1149" hidden="1">
              <a:extLst>
                <a:ext uri="{63B3BB69-23CF-44E3-9099-C40C66FF867C}">
                  <a14:compatExt spid="_x0000_s21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2174" name="Button 1150" hidden="1">
              <a:extLst>
                <a:ext uri="{63B3BB69-23CF-44E3-9099-C40C66FF867C}">
                  <a14:compatExt spid="_x0000_s21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2175" name="Button 1151" hidden="1">
              <a:extLst>
                <a:ext uri="{63B3BB69-23CF-44E3-9099-C40C66FF867C}">
                  <a14:compatExt spid="_x0000_s2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176" name="Button 1152" hidden="1">
              <a:extLst>
                <a:ext uri="{63B3BB69-23CF-44E3-9099-C40C66FF867C}">
                  <a14:compatExt spid="_x0000_s21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2177" name="Button 1153" hidden="1">
              <a:extLst>
                <a:ext uri="{63B3BB69-23CF-44E3-9099-C40C66FF867C}">
                  <a14:compatExt spid="_x0000_s21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2178" name="Button 1154" hidden="1">
              <a:extLst>
                <a:ext uri="{63B3BB69-23CF-44E3-9099-C40C66FF867C}">
                  <a14:compatExt spid="_x0000_s2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2179" name="Button 1155" hidden="1">
              <a:extLst>
                <a:ext uri="{63B3BB69-23CF-44E3-9099-C40C66FF867C}">
                  <a14:compatExt spid="_x0000_s21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2180" name="Button 1156" hidden="1">
              <a:extLst>
                <a:ext uri="{63B3BB69-23CF-44E3-9099-C40C66FF867C}">
                  <a14:compatExt spid="_x0000_s21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181" name="Button 1157" hidden="1">
              <a:extLst>
                <a:ext uri="{63B3BB69-23CF-44E3-9099-C40C66FF867C}">
                  <a14:compatExt spid="_x0000_s2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2182" name="Button 1158" hidden="1">
              <a:extLst>
                <a:ext uri="{63B3BB69-23CF-44E3-9099-C40C66FF867C}">
                  <a14:compatExt spid="_x0000_s21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2183" name="Button 1159" hidden="1">
              <a:extLst>
                <a:ext uri="{63B3BB69-23CF-44E3-9099-C40C66FF867C}">
                  <a14:compatExt spid="_x0000_s21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2184" name="Button 1160" hidden="1">
              <a:extLst>
                <a:ext uri="{63B3BB69-23CF-44E3-9099-C40C66FF867C}">
                  <a14:compatExt spid="_x0000_s2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2185" name="Button 1161" hidden="1">
              <a:extLst>
                <a:ext uri="{63B3BB69-23CF-44E3-9099-C40C66FF867C}">
                  <a14:compatExt spid="_x0000_s21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186" name="Button 1162" hidden="1">
              <a:extLst>
                <a:ext uri="{63B3BB69-23CF-44E3-9099-C40C66FF867C}">
                  <a14:compatExt spid="_x0000_s21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187" name="Button 1163" hidden="1">
              <a:extLst>
                <a:ext uri="{63B3BB69-23CF-44E3-9099-C40C66FF867C}">
                  <a14:compatExt spid="_x0000_s2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188" name="Button 1164" hidden="1">
              <a:extLst>
                <a:ext uri="{63B3BB69-23CF-44E3-9099-C40C66FF867C}">
                  <a14:compatExt spid="_x0000_s21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2189" name="Button 1165" hidden="1">
              <a:extLst>
                <a:ext uri="{63B3BB69-23CF-44E3-9099-C40C66FF867C}">
                  <a14:compatExt spid="_x0000_s2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10</xdr:col>
          <xdr:colOff>0</xdr:colOff>
          <xdr:row>2578</xdr:row>
          <xdr:rowOff>0</xdr:rowOff>
        </xdr:to>
        <xdr:sp macro="" textlink="">
          <xdr:nvSpPr>
            <xdr:cNvPr id="2190" name="Button 1166" hidden="1">
              <a:extLst>
                <a:ext uri="{63B3BB69-23CF-44E3-9099-C40C66FF867C}">
                  <a14:compatExt spid="_x0000_s21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2191" name="Button 1167" hidden="1">
              <a:extLst>
                <a:ext uri="{63B3BB69-23CF-44E3-9099-C40C66FF867C}">
                  <a14:compatExt spid="_x0000_s2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2192" name="Button 1168" hidden="1">
              <a:extLst>
                <a:ext uri="{63B3BB69-23CF-44E3-9099-C40C66FF867C}">
                  <a14:compatExt spid="_x0000_s21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2193" name="Button 1169" hidden="1">
              <a:extLst>
                <a:ext uri="{63B3BB69-23CF-44E3-9099-C40C66FF867C}">
                  <a14:compatExt spid="_x0000_s21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2194" name="Button 1170" hidden="1">
              <a:extLst>
                <a:ext uri="{63B3BB69-23CF-44E3-9099-C40C66FF867C}">
                  <a14:compatExt spid="_x0000_s2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10</xdr:col>
          <xdr:colOff>0</xdr:colOff>
          <xdr:row>2582</xdr:row>
          <xdr:rowOff>0</xdr:rowOff>
        </xdr:to>
        <xdr:sp macro="" textlink="">
          <xdr:nvSpPr>
            <xdr:cNvPr id="2195" name="Button 1171" hidden="1">
              <a:extLst>
                <a:ext uri="{63B3BB69-23CF-44E3-9099-C40C66FF867C}">
                  <a14:compatExt spid="_x0000_s21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2196" name="Button 1172" hidden="1">
              <a:extLst>
                <a:ext uri="{63B3BB69-23CF-44E3-9099-C40C66FF867C}">
                  <a14:compatExt spid="_x0000_s21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2197" name="Button 1173" hidden="1">
              <a:extLst>
                <a:ext uri="{63B3BB69-23CF-44E3-9099-C40C66FF867C}">
                  <a14:compatExt spid="_x0000_s2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2198" name="Button 1174" hidden="1">
              <a:extLst>
                <a:ext uri="{63B3BB69-23CF-44E3-9099-C40C66FF867C}">
                  <a14:compatExt spid="_x0000_s21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2199" name="Button 1175" hidden="1">
              <a:extLst>
                <a:ext uri="{63B3BB69-23CF-44E3-9099-C40C66FF867C}">
                  <a14:compatExt spid="_x0000_s21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2200" name="Button 1176" hidden="1">
              <a:extLst>
                <a:ext uri="{63B3BB69-23CF-44E3-9099-C40C66FF867C}">
                  <a14:compatExt spid="_x0000_s2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10</xdr:col>
          <xdr:colOff>0</xdr:colOff>
          <xdr:row>2604</xdr:row>
          <xdr:rowOff>0</xdr:rowOff>
        </xdr:to>
        <xdr:sp macro="" textlink="">
          <xdr:nvSpPr>
            <xdr:cNvPr id="2201" name="Button 1177" hidden="1">
              <a:extLst>
                <a:ext uri="{63B3BB69-23CF-44E3-9099-C40C66FF867C}">
                  <a14:compatExt spid="_x0000_s22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2202" name="Button 1178" hidden="1">
              <a:extLst>
                <a:ext uri="{63B3BB69-23CF-44E3-9099-C40C66FF867C}">
                  <a14:compatExt spid="_x0000_s22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10</xdr:col>
          <xdr:colOff>0</xdr:colOff>
          <xdr:row>2623</xdr:row>
          <xdr:rowOff>0</xdr:rowOff>
        </xdr:to>
        <xdr:sp macro="" textlink="">
          <xdr:nvSpPr>
            <xdr:cNvPr id="2203" name="Button 1179" hidden="1">
              <a:extLst>
                <a:ext uri="{63B3BB69-23CF-44E3-9099-C40C66FF867C}">
                  <a14:compatExt spid="_x0000_s2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2204" name="Button 1180" hidden="1">
              <a:extLst>
                <a:ext uri="{63B3BB69-23CF-44E3-9099-C40C66FF867C}">
                  <a14:compatExt spid="_x0000_s22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10</xdr:col>
          <xdr:colOff>0</xdr:colOff>
          <xdr:row>2633</xdr:row>
          <xdr:rowOff>0</xdr:rowOff>
        </xdr:to>
        <xdr:sp macro="" textlink="">
          <xdr:nvSpPr>
            <xdr:cNvPr id="2205" name="Button 1181" hidden="1">
              <a:extLst>
                <a:ext uri="{63B3BB69-23CF-44E3-9099-C40C66FF867C}">
                  <a14:compatExt spid="_x0000_s22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10</xdr:col>
          <xdr:colOff>0</xdr:colOff>
          <xdr:row>2634</xdr:row>
          <xdr:rowOff>0</xdr:rowOff>
        </xdr:to>
        <xdr:sp macro="" textlink="">
          <xdr:nvSpPr>
            <xdr:cNvPr id="2206" name="Button 1182" hidden="1">
              <a:extLst>
                <a:ext uri="{63B3BB69-23CF-44E3-9099-C40C66FF867C}">
                  <a14:compatExt spid="_x0000_s2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2207" name="Button 1183" hidden="1">
              <a:extLst>
                <a:ext uri="{63B3BB69-23CF-44E3-9099-C40C66FF867C}">
                  <a14:compatExt spid="_x0000_s22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10</xdr:col>
          <xdr:colOff>0</xdr:colOff>
          <xdr:row>2644</xdr:row>
          <xdr:rowOff>0</xdr:rowOff>
        </xdr:to>
        <xdr:sp macro="" textlink="">
          <xdr:nvSpPr>
            <xdr:cNvPr id="2208" name="Button 1184" hidden="1">
              <a:extLst>
                <a:ext uri="{63B3BB69-23CF-44E3-9099-C40C66FF867C}">
                  <a14:compatExt spid="_x0000_s22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2209" name="Button 1185" hidden="1">
              <a:extLst>
                <a:ext uri="{63B3BB69-23CF-44E3-9099-C40C66FF867C}">
                  <a14:compatExt spid="_x0000_s2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10</xdr:col>
          <xdr:colOff>0</xdr:colOff>
          <xdr:row>2637</xdr:row>
          <xdr:rowOff>0</xdr:rowOff>
        </xdr:to>
        <xdr:sp macro="" textlink="">
          <xdr:nvSpPr>
            <xdr:cNvPr id="2210" name="Button 1186" hidden="1">
              <a:extLst>
                <a:ext uri="{63B3BB69-23CF-44E3-9099-C40C66FF867C}">
                  <a14:compatExt spid="_x0000_s22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10</xdr:col>
          <xdr:colOff>0</xdr:colOff>
          <xdr:row>2655</xdr:row>
          <xdr:rowOff>0</xdr:rowOff>
        </xdr:to>
        <xdr:sp macro="" textlink="">
          <xdr:nvSpPr>
            <xdr:cNvPr id="2211" name="Button 1187" hidden="1">
              <a:extLst>
                <a:ext uri="{63B3BB69-23CF-44E3-9099-C40C66FF867C}">
                  <a14:compatExt spid="_x0000_s22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10</xdr:col>
          <xdr:colOff>0</xdr:colOff>
          <xdr:row>2656</xdr:row>
          <xdr:rowOff>0</xdr:rowOff>
        </xdr:to>
        <xdr:sp macro="" textlink="">
          <xdr:nvSpPr>
            <xdr:cNvPr id="2212" name="Button 1188" hidden="1">
              <a:extLst>
                <a:ext uri="{63B3BB69-23CF-44E3-9099-C40C66FF867C}">
                  <a14:compatExt spid="_x0000_s2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10</xdr:col>
          <xdr:colOff>0</xdr:colOff>
          <xdr:row>2648</xdr:row>
          <xdr:rowOff>0</xdr:rowOff>
        </xdr:to>
        <xdr:sp macro="" textlink="">
          <xdr:nvSpPr>
            <xdr:cNvPr id="2213" name="Button 1189" hidden="1">
              <a:extLst>
                <a:ext uri="{63B3BB69-23CF-44E3-9099-C40C66FF867C}">
                  <a14:compatExt spid="_x0000_s22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C%202023%20DIGECOG%20ANU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definedNames>
      <definedName name="Sheet1.CopyNewProcedure"/>
      <definedName name="Sheet1.deleteProcedure"/>
      <definedName name="Sheet1.deleteRow"/>
      <definedName name="Sheet1.InsertNewTableRow"/>
    </definedNames>
    <sheetDataSet>
      <sheetData sheetId="0"/>
      <sheetData sheetId="1"/>
      <sheetData sheetId="2">
        <row r="3">
          <cell r="A3" t="str">
            <v>CIBAO NORTE</v>
          </cell>
          <cell r="B3" t="str">
            <v>CIBAO NORTE</v>
          </cell>
          <cell r="C3" t="str">
            <v>Santiago</v>
          </cell>
          <cell r="E3" t="str">
            <v>Santiago</v>
          </cell>
          <cell r="F3" t="str">
            <v>Santiago de los Caballeros</v>
          </cell>
          <cell r="I3" t="str">
            <v>Arenoso</v>
          </cell>
          <cell r="J3" t="str">
            <v>Arenoso</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Q6" t="str">
            <v>Ciento</v>
          </cell>
        </row>
        <row r="7">
          <cell r="A7" t="str">
            <v>VALDESIA</v>
          </cell>
          <cell r="B7" t="str">
            <v>CIBAO SUR</v>
          </cell>
          <cell r="C7" t="str">
            <v>Monseñor Nouel</v>
          </cell>
          <cell r="E7" t="str">
            <v>Santiago</v>
          </cell>
          <cell r="F7" t="str">
            <v>Licey al Medio</v>
          </cell>
          <cell r="I7" t="str">
            <v>Hostos</v>
          </cell>
          <cell r="J7" t="str">
            <v>Hostos</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Q12" t="str">
            <v>Gramo</v>
          </cell>
        </row>
        <row r="13">
          <cell r="B13" t="str">
            <v>CIBAO NOROESTE</v>
          </cell>
          <cell r="C13" t="str">
            <v>Valverde</v>
          </cell>
          <cell r="E13" t="str">
            <v>Puerto Plata</v>
          </cell>
          <cell r="F13" t="str">
            <v>Altamira</v>
          </cell>
          <cell r="I13" t="str">
            <v>San Fco. de Macorís</v>
          </cell>
          <cell r="J13" t="str">
            <v>Jaya</v>
          </cell>
          <cell r="Q13" t="str">
            <v>Hora</v>
          </cell>
        </row>
        <row r="14">
          <cell r="B14" t="str">
            <v>CIBAO NOROESTE</v>
          </cell>
          <cell r="C14" t="str">
            <v>Santiago Rodriguez</v>
          </cell>
          <cell r="E14" t="str">
            <v>Puerto Plata</v>
          </cell>
          <cell r="F14" t="str">
            <v>Guananico</v>
          </cell>
          <cell r="I14" t="str">
            <v>San Fco. de Macorís</v>
          </cell>
          <cell r="J14" t="str">
            <v>La Peña</v>
          </cell>
          <cell r="Q14" t="str">
            <v>Hora Hombre</v>
          </cell>
        </row>
        <row r="15">
          <cell r="B15" t="str">
            <v>CIBAO NOROESTE</v>
          </cell>
          <cell r="C15" t="str">
            <v>Montecristi</v>
          </cell>
          <cell r="E15" t="str">
            <v>Puerto Plata</v>
          </cell>
          <cell r="F15" t="str">
            <v>Imbert</v>
          </cell>
          <cell r="I15" t="str">
            <v>San Fco. de Macorís</v>
          </cell>
          <cell r="J15" t="str">
            <v>San Fco. de Macorís</v>
          </cell>
          <cell r="Q15" t="str">
            <v>Kilogramo</v>
          </cell>
        </row>
        <row r="16">
          <cell r="B16" t="str">
            <v>CIBAO NOROESTE</v>
          </cell>
          <cell r="C16" t="str">
            <v>Dajabón</v>
          </cell>
          <cell r="E16" t="str">
            <v>Puerto Plata</v>
          </cell>
          <cell r="F16" t="str">
            <v>Los Hidalgos</v>
          </cell>
          <cell r="I16" t="str">
            <v>Villa Riva</v>
          </cell>
          <cell r="J16" t="str">
            <v>Agua Santa del Yuna</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id="1" name="Table4" displayName="Table4" ref="A22:F110" totalsRowShown="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0" name="Table312" displayName="Table312" ref="A308:F309" totalsRowShown="0">
  <autoFilter ref="A308:F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0" name="Table3102" displayName="Table3102" ref="A1435:F1436" totalsRowShown="0">
  <autoFilter ref="A1435:F14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1" name="Table3103" displayName="Table3103" ref="A1446:F1447" totalsRowShown="0">
  <autoFilter ref="A1446:F14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2" name="Table3104" displayName="Table3104" ref="A1457:F1460" totalsRowShown="0">
  <autoFilter ref="A1457:F14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3" name="Table3106" displayName="Table3106" ref="A1470:F1472" totalsRowShown="0">
  <autoFilter ref="A1470:F14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4" name="Table3107" displayName="Table3107" ref="A1482:F1483" totalsRowShown="0">
  <autoFilter ref="A1482:F14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5" name="Table3108" displayName="Table3108" ref="A1493:F1497" totalsRowShown="0">
  <autoFilter ref="A1493:F14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6" name="Table3109" displayName="Table3109" ref="A1507:F1508" totalsRowShown="0">
  <autoFilter ref="A1507:F15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7" name="Table3110" displayName="Table3110" ref="A1518:F1522" totalsRowShown="0">
  <autoFilter ref="A1518:F15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8" name="Table3111" displayName="Table3111" ref="A1532:F1533" totalsRowShown="0">
  <autoFilter ref="A1532:F15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09" name="Table3112" displayName="Table3112" ref="A1543:F1545" totalsRowShown="0">
  <autoFilter ref="A1543:F15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1" name="Table313" displayName="Table313" ref="A319:F320" totalsRowShown="0">
  <autoFilter ref="A319:F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0" name="Table3113" displayName="Table3113" ref="A1555:F1557" totalsRowShown="0">
  <autoFilter ref="A1555:F15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1" name="Table3114" displayName="Table3114" ref="A1567:F1568" totalsRowShown="0">
  <autoFilter ref="A1567:F15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2" name="Table3115" displayName="Table3115" ref="A1578:F1579" totalsRowShown="0">
  <autoFilter ref="A1578:F15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3" name="Table3116" displayName="Table3116" ref="A1589:F1590" totalsRowShown="0">
  <autoFilter ref="A1589:F15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4" name="Table3117" displayName="Table3117" ref="A1600:F1601" totalsRowShown="0">
  <autoFilter ref="A1600:F1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5" name="Table3118" displayName="Table3118" ref="A1611:F1666" totalsRowShown="0">
  <autoFilter ref="A1611:F16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6" name="Table3119" displayName="Table3119" ref="A1676:F1680" totalsRowShown="0">
  <autoFilter ref="A1676:F1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7" name="Table3120" displayName="Table3120" ref="A1690:F1701" totalsRowShown="0">
  <autoFilter ref="A1690:F17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18" name="Table3121" displayName="Table3121" ref="A1711:F1713" totalsRowShown="0">
  <autoFilter ref="A1711:F17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19" name="Table3122" displayName="Table3122" ref="A1723:F1742" totalsRowShown="0">
  <autoFilter ref="A1723:F17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2" name="Table314" displayName="Table314" ref="A330:F331" totalsRowShown="0">
  <autoFilter ref="A330:F3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0" name="Table3123" displayName="Table3123" ref="A1752:F1778" totalsRowShown="0">
  <autoFilter ref="A1752:F17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1" name="Table3124" displayName="Table3124" ref="A1788:F1793" totalsRowShown="0">
  <autoFilter ref="A1788:F17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2" name="Table3125" displayName="Table3125" ref="A1803:F1809" totalsRowShown="0">
  <autoFilter ref="A1803:F18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3" name="Table3128" displayName="Table3128" ref="A1819:F1822" totalsRowShown="0">
  <autoFilter ref="A1819:F18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4" name="Table3129" displayName="Table3129" ref="A1832:F1833" totalsRowShown="0">
  <autoFilter ref="A1832:F18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5" name="Table3130" displayName="Table3130" ref="A1843:F1844" totalsRowShown="0">
  <autoFilter ref="A1843:F18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6" name="Table3131" displayName="Table3131" ref="A1854:F1856" totalsRowShown="0">
  <autoFilter ref="A1854:F18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7" name="Table3132" displayName="Table3132" ref="A1866:F1867" totalsRowShown="0">
  <autoFilter ref="A1866:F18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28" name="Table3133" displayName="Table3133" ref="A1877:F1878" totalsRowShown="0">
  <autoFilter ref="A1877:F18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29" name="Table3105" displayName="Table3105" ref="A1888:F1889" totalsRowShown="0">
  <autoFilter ref="A1888:F18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3" name="Table315" displayName="Table315" ref="A341:F345" totalsRowShown="0">
  <autoFilter ref="A341:F3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0" name="Table3126" displayName="Table3126" ref="A1899:F1902" totalsRowShown="0">
  <autoFilter ref="A1899:F19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1" name="Table3127" displayName="Table3127" ref="A1912:F1914" totalsRowShown="0">
  <autoFilter ref="A1912:F19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2" name="Table3134" displayName="Table3134" ref="A1924:F1925" totalsRowShown="0">
  <autoFilter ref="A1924:F19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3" name="Table3135" displayName="Table3135" ref="A1935:F1936" totalsRowShown="0">
  <autoFilter ref="A1935:F19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4" name="Table3136" displayName="Table3136" ref="A1946:F1947" totalsRowShown="0">
  <autoFilter ref="A1946:F19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135" name="Table3137" displayName="Table3137" ref="A1957:F1958" totalsRowShown="0">
  <autoFilter ref="A1957:F19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136" name="Table3138" displayName="Table3138" ref="A1968:F1969" totalsRowShown="0">
  <autoFilter ref="A1968:F19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137" name="Table3139" displayName="Table3139" ref="A1979:F1980" totalsRowShown="0">
  <autoFilter ref="A1979:F19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138" name="Table3140" displayName="Table3140" ref="A1990:F1991" totalsRowShown="0">
  <autoFilter ref="A1990:F19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139" name="Table3141" displayName="Table3141" ref="A2001:F2002" totalsRowShown="0">
  <autoFilter ref="A2001:F20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4" name="Table316" displayName="Table316" ref="A355:F356" totalsRowShown="0">
  <autoFilter ref="A355:F3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id="140" name="Table3142" displayName="Table3142" ref="A2012:F2013" totalsRowShown="0">
  <autoFilter ref="A2012:F20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141" name="Table3143" displayName="Table3143" ref="A2023:F2024" totalsRowShown="0">
  <autoFilter ref="A2023:F20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142" name="Table3144" displayName="Table3144" ref="A2034:F2035" totalsRowShown="0">
  <autoFilter ref="A2034:F20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143" name="Table3145" displayName="Table3145" ref="A2045:F2047" totalsRowShown="0">
  <autoFilter ref="A2045:F20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144" name="Table3146" displayName="Table3146" ref="A2057:F2061" totalsRowShown="0">
  <autoFilter ref="A2057:F20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145" name="Table3147" displayName="Table3147" ref="A2071:F2073" totalsRowShown="0">
  <autoFilter ref="A2071:F20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146" name="Table3148" displayName="Table3148" ref="A2083:F2183" totalsRowShown="0">
  <autoFilter ref="A2083:F21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147" name="Table3149" displayName="Table3149" ref="A2193:F2204" totalsRowShown="0">
  <autoFilter ref="A2193:F22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148" name="Table3150" displayName="Table3150" ref="A2214:F2238" totalsRowShown="0">
  <autoFilter ref="A2214:F2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149" name="Table3151" displayName="Table3151" ref="A2248:F2250" totalsRowShown="0">
  <autoFilter ref="A2248:F22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5" name="Table317" displayName="Table317" ref="A366:F367" totalsRowShown="0">
  <autoFilter ref="A366:F3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id="150" name="Table3152" displayName="Table3152" ref="A2260:F2294" totalsRowShown="0">
  <autoFilter ref="A2260:F22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id="151" name="Table3153" displayName="Table3153" ref="A2304:F2309" totalsRowShown="0">
  <autoFilter ref="A2304:F2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id="152" name="Table3154" displayName="Table3154" ref="A2319:F2323" totalsRowShown="0">
  <autoFilter ref="A2319:F23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id="153" name="Table3155" displayName="Table3155" ref="A2333:F2335" totalsRowShown="0">
  <autoFilter ref="A2333:F23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id="154" name="Table3156" displayName="Table3156" ref="A2345:F2346" totalsRowShown="0">
  <autoFilter ref="A2345:F23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id="155" name="Table3157" displayName="Table3157" ref="A2356:F2358" totalsRowShown="0">
  <autoFilter ref="A2356:F23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id="156" name="Table3158" displayName="Table3158" ref="A2368:F2369" totalsRowShown="0">
  <autoFilter ref="A2368:F23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id="157" name="Table3159" displayName="Table3159" ref="A2379:F2380" totalsRowShown="0">
  <autoFilter ref="A2379:F23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id="158" name="Table3160" displayName="Table3160" ref="A2390:F2391" totalsRowShown="0">
  <autoFilter ref="A2390:F23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id="159" name="Table3161" displayName="Table3161" ref="A2401:F2402" totalsRowShown="0">
  <autoFilter ref="A2401:F24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6" name="Table318" displayName="Table318" ref="A377:F381" totalsRowShown="0">
  <autoFilter ref="A377:F3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id="160" name="Table3162" displayName="Table3162" ref="A2412:F2413" totalsRowShown="0">
  <autoFilter ref="A2412:F24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id="161" name="Table3163" displayName="Table3163" ref="A2423:F2424" totalsRowShown="0">
  <autoFilter ref="A2423:F24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id="162" name="Table3164" displayName="Table3164" ref="A2434:F2435" totalsRowShown="0">
  <autoFilter ref="A2434:F24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id="163" name="Table3165" displayName="Table3165" ref="A2445:F2446" totalsRowShown="0">
  <autoFilter ref="A2445:F24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id="164" name="Table3166" displayName="Table3166" ref="A2456:F2457" totalsRowShown="0">
  <autoFilter ref="A2456:F24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id="165" name="Table3167" displayName="Table3167" ref="A2467:F2468" totalsRowShown="0">
  <autoFilter ref="A2467:F2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id="166" name="Table3168" displayName="Table3168" ref="A2478:F2479" totalsRowShown="0">
  <autoFilter ref="A2478:F24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id="167" name="Table3169" displayName="Table3169" ref="A2489:F2490" totalsRowShown="0">
  <autoFilter ref="A2489:F24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id="168" name="Table3170" displayName="Table3170" ref="A2500:F2501" totalsRowShown="0">
  <autoFilter ref="A2500:F25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id="169" name="Table3171" displayName="Table3171" ref="A2511:F2512" totalsRowShown="0">
  <autoFilter ref="A2511:F25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7" name="Table319" displayName="Table319" ref="A391:F392" totalsRowShown="0">
  <autoFilter ref="A391:F3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id="170" name="Table3172" displayName="Table3172" ref="A2522:F2523" totalsRowShown="0">
  <autoFilter ref="A2522:F25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id="171" name="Table3173" displayName="Table3173" ref="A2533:F2534" totalsRowShown="0">
  <autoFilter ref="A2533:F25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id="172" name="Table3174" displayName="Table3174" ref="A2544:F2545" totalsRowShown="0">
  <autoFilter ref="A2544:F25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id="173" name="Table3175" displayName="Table3175" ref="A2555:F2556" totalsRowShown="0">
  <autoFilter ref="A2555:F25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id="174" name="Table3176" displayName="Table3176" ref="A2566:F2568" totalsRowShown="0">
  <autoFilter ref="A2566:F25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id="175" name="Table3177" displayName="Table3177" ref="A2578:F2579" totalsRowShown="0">
  <autoFilter ref="A2578:F25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id="176" name="Table3178" displayName="Table3178" ref="A2589:F2590" totalsRowShown="0">
  <autoFilter ref="A2589:F25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id="177" name="Table3179" displayName="Table3179" ref="A2600:F2601" totalsRowShown="0">
  <autoFilter ref="A2600:F2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id="178" name="Table3180" displayName="Table3180" ref="A2611:F2612" totalsRowShown="0">
  <autoFilter ref="A2611:F26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id="179" name="Table3181" displayName="Table3181" ref="A2622:F2623" totalsRowShown="0">
  <autoFilter ref="A2622:F26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8" name="Table320" displayName="Table320" ref="A402:F403" totalsRowShown="0">
  <autoFilter ref="A402:F4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id="180" name="Table3182" displayName="Table3182" ref="A2633:F2634" totalsRowShown="0">
  <autoFilter ref="A2633:F26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id="181" name="Table3183" displayName="Table3183" ref="A2644:F2645" totalsRowShown="0">
  <autoFilter ref="A2644:F26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id="182" name="Table3184" displayName="Table3184" ref="A2655:F2656" totalsRowShown="0">
  <autoFilter ref="A2655:F26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19" name="Table321" displayName="Table321" ref="A413:F416" totalsRowShown="0">
  <autoFilter ref="A413:F4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2" displayName="Table32" ref="A120:F131" totalsRowShown="0">
  <autoFilter ref="A120:F1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0" name="Table322" displayName="Table322" ref="A426:F427" totalsRowShown="0">
  <autoFilter ref="A426:F4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1" name="Table323" displayName="Table323" ref="A437:F440" totalsRowShown="0">
  <autoFilter ref="A437:F4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2" name="Table324" displayName="Table324" ref="A450:F451" totalsRowShown="0">
  <autoFilter ref="A450:F4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3" name="Table325" displayName="Table325" ref="A461:F462" totalsRowShown="0">
  <autoFilter ref="A461:F4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4" name="Table326" displayName="Table326" ref="A472:F473" totalsRowShown="0">
  <autoFilter ref="A472:F4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5" name="Table327" displayName="Table327" ref="A483:F485" totalsRowShown="0">
  <autoFilter ref="A483:F4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6" name="Table328" displayName="Table328" ref="A495:F496" totalsRowShown="0">
  <autoFilter ref="A495:F4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7" name="Table329" displayName="Table329" ref="A506:F507" totalsRowShown="0">
  <autoFilter ref="A506:F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8" name="Table330" displayName="Table330" ref="A517:F518" totalsRowShown="0">
  <autoFilter ref="A517:F5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29" name="Table331" displayName="Table331" ref="A528:F531" totalsRowShown="0">
  <autoFilter ref="A528:F5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3" name="Table33" displayName="Table33" ref="A141:F143" totalsRowShown="0">
  <autoFilter ref="A141:F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0" name="Table332" displayName="Table332" ref="A541:F542" totalsRowShown="0">
  <autoFilter ref="A541:F5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1" name="Table333" displayName="Table333" ref="A552:F553" totalsRowShown="0">
  <autoFilter ref="A552:F5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2" name="Table335" displayName="Table335" ref="A563:F564" totalsRowShown="0">
  <autoFilter ref="A563:F5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3" name="Table336" displayName="Table336" ref="A574:F575" totalsRowShown="0">
  <autoFilter ref="A574:F5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4" name="Table337" displayName="Table337" ref="A585:F586" totalsRowShown="0">
  <autoFilter ref="A585:F5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5" name="Table338" displayName="Table338" ref="A596:F597" totalsRowShown="0">
  <autoFilter ref="A596:F5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6" name="Table339" displayName="Table339" ref="A607:F608" totalsRowShown="0">
  <autoFilter ref="A607:F6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7" name="Table340" displayName="Table340" ref="A618:F621" totalsRowShown="0">
  <autoFilter ref="A618:F6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8" name="Table341" displayName="Table341" ref="A631:F632" totalsRowShown="0">
  <autoFilter ref="A631:F6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39" name="Table342" displayName="Table342" ref="A642:F643" totalsRowShown="0">
  <autoFilter ref="A642:F6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4" name="Table36" displayName="Table36" ref="A153:F174" totalsRowShown="0">
  <autoFilter ref="A153:F1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0" name="Table343" displayName="Table343" ref="A653:F654" totalsRowShown="0">
  <autoFilter ref="A653:F6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1" name="Table344" displayName="Table344" ref="A664:F666" totalsRowShown="0">
  <autoFilter ref="A664:F6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2" name="Table345" displayName="Table345" ref="A676:F677" totalsRowShown="0">
  <autoFilter ref="A676:F6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3" name="Table334" displayName="Table334" ref="A687:F688" totalsRowShown="0">
  <autoFilter ref="A687:F6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4" name="Table346" displayName="Table346" ref="A698:F701" totalsRowShown="0">
  <autoFilter ref="A698:F7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5" name="Table347" displayName="Table347" ref="A711:F716" totalsRowShown="0">
  <autoFilter ref="A711:F7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6" name="Table348" displayName="Table348" ref="A726:F738" totalsRowShown="0">
  <autoFilter ref="A726:F7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7" name="Table349" displayName="Table349" ref="A748:F751" totalsRowShown="0">
  <autoFilter ref="A748:F7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8" name="Table350" displayName="Table350" ref="A761:F762" totalsRowShown="0">
  <autoFilter ref="A761:F7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49" name="Table351" displayName="Table351" ref="A772:F773" totalsRowShown="0">
  <autoFilter ref="A772:F7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5" name="Table37" displayName="Table37" ref="A184:F221" totalsRowShown="0">
  <autoFilter ref="A184:F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0" name="Table352" displayName="Table352" ref="A783:F784" totalsRowShown="0">
  <autoFilter ref="A783:F7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1" name="Table353" displayName="Table353" ref="A794:F795" totalsRowShown="0">
  <autoFilter ref="A794:F7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2" name="Table354" displayName="Table354" ref="A805:F806" totalsRowShown="0">
  <autoFilter ref="A805:F8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3" name="Table355" displayName="Table355" ref="A816:F818" totalsRowShown="0">
  <autoFilter ref="A816:F8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4" name="Table356" displayName="Table356" ref="A828:F829" totalsRowShown="0">
  <autoFilter ref="A828:F8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5" name="Table357" displayName="Table357" ref="A839:F840" totalsRowShown="0">
  <autoFilter ref="A839:F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6" name="Table358" displayName="Table358" ref="A850:F855" totalsRowShown="0">
  <autoFilter ref="A850:F8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7" name="Table359" displayName="Table359" ref="A865:F866" totalsRowShown="0">
  <autoFilter ref="A865:F8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8" name="Table360" displayName="Table360" ref="A876:F877" totalsRowShown="0">
  <autoFilter ref="A876:F8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59" name="Table361" displayName="Table361" ref="A887:F897" totalsRowShown="0">
  <autoFilter ref="A887:F8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6" name="Table38" displayName="Table38" ref="A231:F234" totalsRowShown="0">
  <autoFilter ref="A231:F234"/>
  <tableColumns count="6">
    <tableColumn id="1" name="CÓDIGO CATÁLOGO"/>
    <tableColumn id="2" name="ARTÍCULO">
      <calculatedColumnFormula>IFERROR(INDEX(UNSPSCDes,MATCH(INDIRECT(ADDRESS(ROW(),COLUMN()-1,4)),UNSPSCCode,0)),"")</calculatedColumnFormula>
    </tableColumn>
    <tableColumn id="3" name="UNIDAD DE MEDIDA" dataDxfId="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0" name="Table362" displayName="Table362" ref="A907:F908" totalsRowShown="0">
  <autoFilter ref="A907:F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1" name="Table363" displayName="Table363" ref="A918:F923" totalsRowShown="0">
  <autoFilter ref="A918:F9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2" name="Table364" displayName="Table364" ref="A933:F935" totalsRowShown="0">
  <autoFilter ref="A933:F9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3" name="Table365" displayName="Table365" ref="A945:F949" totalsRowShown="0">
  <autoFilter ref="A945:F9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4" name="Table366" displayName="Table366" ref="A959:F960" totalsRowShown="0">
  <autoFilter ref="A959:F9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5" name="Table367" displayName="Table367" ref="A970:F971" totalsRowShown="0">
  <autoFilter ref="A970:F9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6" name="Table368" displayName="Table368" ref="A981:F982" totalsRowShown="0">
  <autoFilter ref="A981:F9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7" name="Table369" displayName="Table369" ref="A992:F993" totalsRowShown="0">
  <autoFilter ref="A992:F9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8" name="Table370" displayName="Table370" ref="A1003:F1005" totalsRowShown="0">
  <autoFilter ref="A1003:F1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69" name="Table371" displayName="Table371" ref="A1015:F1016" totalsRowShown="0">
  <autoFilter ref="A1015:F10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7" name="Table39" displayName="Table39" ref="A244:F248" totalsRowShown="0">
  <autoFilter ref="A244:F2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0" name="Table372" displayName="Table372" ref="A1026:F1050" totalsRowShown="0">
  <autoFilter ref="A1026:F10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1" name="Table373" displayName="Table373" ref="A1060:F1066" totalsRowShown="0">
  <autoFilter ref="A1060:F10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2" name="Table374" displayName="Table374" ref="A1076:F1092" totalsRowShown="0">
  <autoFilter ref="A1076:F10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3" name="Table375" displayName="Table375" ref="A1102:F1104" totalsRowShown="0">
  <autoFilter ref="A1102:F11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4" name="Table376" displayName="Table376" ref="A1114:F1131" totalsRowShown="0">
  <autoFilter ref="A1114:F11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5" name="Table377" displayName="Table377" ref="A1141:F1145" totalsRowShown="0">
  <autoFilter ref="A1141:F11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6" name="Table378" displayName="Table378" ref="A1155:F1158" totalsRowShown="0">
  <autoFilter ref="A1155:F11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7" name="Table379" displayName="Table379" ref="A1168:F1169" totalsRowShown="0">
  <autoFilter ref="A1168:F11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8" name="Table380" displayName="Table380" ref="A1179:F1181" totalsRowShown="0">
  <autoFilter ref="A1179:F11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79" name="Table381" displayName="Table381" ref="A1191:F1193" totalsRowShown="0">
  <autoFilter ref="A1191:F11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8" name="Table310" displayName="Table310" ref="A258:F286" totalsRowShown="0">
  <autoFilter ref="A258:F2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0" name="Table382" displayName="Table382" ref="A1203:F1204" totalsRowShown="0">
  <autoFilter ref="A1203:F12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1" name="Table383" displayName="Table383" ref="A1214:F1215" totalsRowShown="0">
  <autoFilter ref="A1214:F12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2" name="Table384" displayName="Table384" ref="A1225:F1226" totalsRowShown="0">
  <autoFilter ref="A1225:F1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3" name="Table385" displayName="Table385" ref="A1236:F1237" totalsRowShown="0">
  <autoFilter ref="A1236:F12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4" name="Table386" displayName="Table386" ref="A1247:F1249" totalsRowShown="0">
  <autoFilter ref="A1247:F12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5" name="Table387" displayName="Table387" ref="A1259:F1260" totalsRowShown="0">
  <autoFilter ref="A1259:F12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6" name="Table388" displayName="Table388" ref="A1270:F1276" totalsRowShown="0">
  <autoFilter ref="A1270:F12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7" name="Table389" displayName="Table389" ref="A1286:F1287" totalsRowShown="0">
  <autoFilter ref="A1286:F12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8" name="Table390" displayName="Table390" ref="A1297:F1298" totalsRowShown="0">
  <autoFilter ref="A1297:F12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89" name="Table391" displayName="Table391" ref="A1308:F1309" totalsRowShown="0">
  <autoFilter ref="A1308:F1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9" name="Table311" displayName="Table311" ref="A296:F298" totalsRowShown="0">
  <autoFilter ref="A296:F2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0" name="Table392" displayName="Table392" ref="A1319:F1324" totalsRowShown="0">
  <autoFilter ref="A1319:F13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1" name="Table393" displayName="Table393" ref="A1334:F1335" totalsRowShown="0">
  <autoFilter ref="A1334:F1335"/>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2" name="Table394" displayName="Table394" ref="A1345:F1346" totalsRowShown="0">
  <autoFilter ref="A1345:F13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3" name="Table395" displayName="Table395" ref="A1356:F1357" totalsRowShown="0">
  <autoFilter ref="A1356:F1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4" name="Table396" displayName="Table396" ref="A1367:F1368" totalsRowShown="0">
  <autoFilter ref="A1367:F13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5" name="Table397" displayName="Table397" ref="A1378:F1379" totalsRowShown="0">
  <autoFilter ref="A1378:F13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6" name="Table398" displayName="Table398" ref="A1389:F1392" totalsRowShown="0">
  <autoFilter ref="A1389:F13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7" name="Table399" displayName="Table399" ref="A1402:F1403" totalsRowShown="0">
  <autoFilter ref="A1402:F14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8" name="Table3100" displayName="Table3100" ref="A1413:F1414" totalsRowShown="0">
  <autoFilter ref="A1413:F14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99" name="Table3101" displayName="Table3101" ref="A1424:F1425" totalsRowShown="0">
  <autoFilter ref="A1424:F14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ctrlProp" Target="../ctrlProps/ctrlProp985.xml"/><Relationship Id="rId1172" Type="http://schemas.openxmlformats.org/officeDocument/2006/relationships/ctrlProp" Target="../ctrlProps/ctrlProp1170.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ctrlProp" Target="../ctrlProps/ctrlProp1030.xml"/><Relationship Id="rId707" Type="http://schemas.openxmlformats.org/officeDocument/2006/relationships/ctrlProp" Target="../ctrlProps/ctrlProp705.xml"/><Relationship Id="rId914" Type="http://schemas.openxmlformats.org/officeDocument/2006/relationships/ctrlProp" Target="../ctrlProps/ctrlProp912.xml"/><Relationship Id="rId1337" Type="http://schemas.openxmlformats.org/officeDocument/2006/relationships/table" Target="../tables/table146.xml"/><Relationship Id="rId43" Type="http://schemas.openxmlformats.org/officeDocument/2006/relationships/ctrlProp" Target="../ctrlProps/ctrlProp41.xml"/><Relationship Id="rId192" Type="http://schemas.openxmlformats.org/officeDocument/2006/relationships/ctrlProp" Target="../ctrlProps/ctrlProp190.xml"/><Relationship Id="rId497" Type="http://schemas.openxmlformats.org/officeDocument/2006/relationships/ctrlProp" Target="../ctrlProps/ctrlProp495.xml"/><Relationship Id="rId357" Type="http://schemas.openxmlformats.org/officeDocument/2006/relationships/ctrlProp" Target="../ctrlProps/ctrlProp355.xml"/><Relationship Id="rId1194" Type="http://schemas.openxmlformats.org/officeDocument/2006/relationships/table" Target="../tables/table3.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ctrlProp" Target="../ctrlProps/ctrlProp1052.xml"/><Relationship Id="rId1261" Type="http://schemas.openxmlformats.org/officeDocument/2006/relationships/table" Target="../tables/table70.xml"/><Relationship Id="rId1359" Type="http://schemas.openxmlformats.org/officeDocument/2006/relationships/table" Target="../tables/table168.xml"/><Relationship Id="rId936" Type="http://schemas.openxmlformats.org/officeDocument/2006/relationships/ctrlProp" Target="../ctrlProps/ctrlProp934.xml"/><Relationship Id="rId1121" Type="http://schemas.openxmlformats.org/officeDocument/2006/relationships/ctrlProp" Target="../ctrlProps/ctrlProp1119.xml"/><Relationship Id="rId1219" Type="http://schemas.openxmlformats.org/officeDocument/2006/relationships/table" Target="../tables/table28.xml"/><Relationship Id="rId65" Type="http://schemas.openxmlformats.org/officeDocument/2006/relationships/ctrlProp" Target="../ctrlProps/ctrlProp63.xml"/><Relationship Id="rId281" Type="http://schemas.openxmlformats.org/officeDocument/2006/relationships/ctrlProp" Target="../ctrlProps/ctrlProp279.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ctrlProp" Target="../ctrlProps/ctrlProp1074.xml"/><Relationship Id="rId1283" Type="http://schemas.openxmlformats.org/officeDocument/2006/relationships/table" Target="../tables/table92.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1143" Type="http://schemas.openxmlformats.org/officeDocument/2006/relationships/ctrlProp" Target="../ctrlProps/ctrlProp1141.xml"/><Relationship Id="rId87" Type="http://schemas.openxmlformats.org/officeDocument/2006/relationships/ctrlProp" Target="../ctrlProps/ctrlProp85.xml"/><Relationship Id="rId513" Type="http://schemas.openxmlformats.org/officeDocument/2006/relationships/ctrlProp" Target="../ctrlProps/ctrlProp511.xml"/><Relationship Id="rId720" Type="http://schemas.openxmlformats.org/officeDocument/2006/relationships/ctrlProp" Target="../ctrlProps/ctrlProp718.xml"/><Relationship Id="rId818" Type="http://schemas.openxmlformats.org/officeDocument/2006/relationships/ctrlProp" Target="../ctrlProps/ctrlProp816.xml"/><Relationship Id="rId1350" Type="http://schemas.openxmlformats.org/officeDocument/2006/relationships/table" Target="../tables/table159.xml"/><Relationship Id="rId1003" Type="http://schemas.openxmlformats.org/officeDocument/2006/relationships/ctrlProp" Target="../ctrlProps/ctrlProp1001.xml"/><Relationship Id="rId1210" Type="http://schemas.openxmlformats.org/officeDocument/2006/relationships/table" Target="../tables/table19.xml"/><Relationship Id="rId1308" Type="http://schemas.openxmlformats.org/officeDocument/2006/relationships/table" Target="../tables/table117.xml"/><Relationship Id="rId14" Type="http://schemas.openxmlformats.org/officeDocument/2006/relationships/ctrlProp" Target="../ctrlProps/ctrlProp12.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ctrlProp" Target="../ctrlProps/ctrlProp1096.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165" Type="http://schemas.openxmlformats.org/officeDocument/2006/relationships/ctrlProp" Target="../ctrlProps/ctrlProp1163.xml"/><Relationship Id="rId1372" Type="http://schemas.openxmlformats.org/officeDocument/2006/relationships/table" Target="../tables/table181.xml"/><Relationship Id="rId602" Type="http://schemas.openxmlformats.org/officeDocument/2006/relationships/ctrlProp" Target="../ctrlProps/ctrlProp600.xml"/><Relationship Id="rId1025" Type="http://schemas.openxmlformats.org/officeDocument/2006/relationships/ctrlProp" Target="../ctrlProps/ctrlProp1023.xml"/><Relationship Id="rId1232" Type="http://schemas.openxmlformats.org/officeDocument/2006/relationships/table" Target="../tables/table41.xml"/><Relationship Id="rId907" Type="http://schemas.openxmlformats.org/officeDocument/2006/relationships/ctrlProp" Target="../ctrlProps/ctrlProp905.xml"/><Relationship Id="rId36" Type="http://schemas.openxmlformats.org/officeDocument/2006/relationships/ctrlProp" Target="../ctrlProps/ctrlProp34.xml"/><Relationship Id="rId185" Type="http://schemas.openxmlformats.org/officeDocument/2006/relationships/ctrlProp" Target="../ctrlProps/ctrlProp183.xml"/><Relationship Id="rId392" Type="http://schemas.openxmlformats.org/officeDocument/2006/relationships/ctrlProp" Target="../ctrlProps/ctrlProp390.xml"/><Relationship Id="rId697" Type="http://schemas.openxmlformats.org/officeDocument/2006/relationships/ctrlProp" Target="../ctrlProps/ctrlProp695.xml"/><Relationship Id="rId252" Type="http://schemas.openxmlformats.org/officeDocument/2006/relationships/ctrlProp" Target="../ctrlProps/ctrlProp250.xml"/><Relationship Id="rId1187" Type="http://schemas.openxmlformats.org/officeDocument/2006/relationships/ctrlProp" Target="../ctrlProps/ctrlProp118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1254" Type="http://schemas.openxmlformats.org/officeDocument/2006/relationships/table" Target="../tables/table63.xml"/><Relationship Id="rId929" Type="http://schemas.openxmlformats.org/officeDocument/2006/relationships/ctrlProp" Target="../ctrlProps/ctrlProp927.xml"/><Relationship Id="rId1114" Type="http://schemas.openxmlformats.org/officeDocument/2006/relationships/ctrlProp" Target="../ctrlProps/ctrlProp1112.xml"/><Relationship Id="rId1321" Type="http://schemas.openxmlformats.org/officeDocument/2006/relationships/table" Target="../tables/table130.xml"/><Relationship Id="rId58" Type="http://schemas.openxmlformats.org/officeDocument/2006/relationships/ctrlProp" Target="../ctrlProps/ctrlProp56.xml"/><Relationship Id="rId274" Type="http://schemas.openxmlformats.org/officeDocument/2006/relationships/ctrlProp" Target="../ctrlProps/ctrlProp272.xml"/><Relationship Id="rId481" Type="http://schemas.openxmlformats.org/officeDocument/2006/relationships/ctrlProp" Target="../ctrlProps/ctrlProp479.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ctrlProp" Target="../ctrlProps/ctrlProp1067.xml"/><Relationship Id="rId1276" Type="http://schemas.openxmlformats.org/officeDocument/2006/relationships/table" Target="../tables/table85.xml"/><Relationship Id="rId201" Type="http://schemas.openxmlformats.org/officeDocument/2006/relationships/ctrlProp" Target="../ctrlProps/ctrlProp199.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ctrlProp" Target="../ctrlProps/ctrlProp1134.xml"/><Relationship Id="rId713" Type="http://schemas.openxmlformats.org/officeDocument/2006/relationships/ctrlProp" Target="../ctrlProps/ctrlProp711.xml"/><Relationship Id="rId920" Type="http://schemas.openxmlformats.org/officeDocument/2006/relationships/ctrlProp" Target="../ctrlProps/ctrlProp918.xml"/><Relationship Id="rId1343" Type="http://schemas.openxmlformats.org/officeDocument/2006/relationships/table" Target="../tables/table152.xml"/><Relationship Id="rId1203" Type="http://schemas.openxmlformats.org/officeDocument/2006/relationships/table" Target="../tables/table12.xml"/><Relationship Id="rId296" Type="http://schemas.openxmlformats.org/officeDocument/2006/relationships/ctrlProp" Target="../ctrlProps/ctrlProp294.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ctrlProp" Target="../ctrlProps/ctrlProp1058.xml"/><Relationship Id="rId1298" Type="http://schemas.openxmlformats.org/officeDocument/2006/relationships/table" Target="../tables/table107.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158" Type="http://schemas.openxmlformats.org/officeDocument/2006/relationships/ctrlProp" Target="../ctrlProps/ctrlProp1156.xml"/><Relationship Id="rId1365" Type="http://schemas.openxmlformats.org/officeDocument/2006/relationships/table" Target="../tables/table174.xml"/><Relationship Id="rId1018" Type="http://schemas.openxmlformats.org/officeDocument/2006/relationships/ctrlProp" Target="../ctrlProps/ctrlProp1016.xml"/><Relationship Id="rId1225" Type="http://schemas.openxmlformats.org/officeDocument/2006/relationships/table" Target="../tables/table34.xml"/><Relationship Id="rId71" Type="http://schemas.openxmlformats.org/officeDocument/2006/relationships/ctrlProp" Target="../ctrlProps/ctrlProp69.xml"/><Relationship Id="rId802" Type="http://schemas.openxmlformats.org/officeDocument/2006/relationships/ctrlProp" Target="../ctrlProps/ctrlProp800.xml"/><Relationship Id="rId29" Type="http://schemas.openxmlformats.org/officeDocument/2006/relationships/ctrlProp" Target="../ctrlProps/ctrlProp27.xml"/><Relationship Id="rId178" Type="http://schemas.openxmlformats.org/officeDocument/2006/relationships/ctrlProp" Target="../ctrlProps/ctrlProp176.xml"/><Relationship Id="rId385" Type="http://schemas.openxmlformats.org/officeDocument/2006/relationships/ctrlProp" Target="../ctrlProps/ctrlProp383.xml"/><Relationship Id="rId592" Type="http://schemas.openxmlformats.org/officeDocument/2006/relationships/ctrlProp" Target="../ctrlProps/ctrlProp590.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ctrlProp" Target="../ctrlProps/ctrlProp108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93" Type="http://schemas.openxmlformats.org/officeDocument/2006/relationships/ctrlProp" Target="../ctrlProps/ctrlProp91.xml"/><Relationship Id="rId617" Type="http://schemas.openxmlformats.org/officeDocument/2006/relationships/ctrlProp" Target="../ctrlProps/ctrlProp615.xml"/><Relationship Id="rId824" Type="http://schemas.openxmlformats.org/officeDocument/2006/relationships/ctrlProp" Target="../ctrlProps/ctrlProp822.xml"/><Relationship Id="rId1247" Type="http://schemas.openxmlformats.org/officeDocument/2006/relationships/table" Target="../tables/table56.xml"/><Relationship Id="rId1107" Type="http://schemas.openxmlformats.org/officeDocument/2006/relationships/ctrlProp" Target="../ctrlProps/ctrlProp1105.xml"/><Relationship Id="rId1314" Type="http://schemas.openxmlformats.org/officeDocument/2006/relationships/table" Target="../tables/table123.xml"/><Relationship Id="rId20" Type="http://schemas.openxmlformats.org/officeDocument/2006/relationships/ctrlProp" Target="../ctrlProps/ctrlProp18.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86" Type="http://schemas.openxmlformats.org/officeDocument/2006/relationships/ctrlProp" Target="../ctrlProps/ctrlProp984.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171" Type="http://schemas.openxmlformats.org/officeDocument/2006/relationships/ctrlProp" Target="../ctrlProps/ctrlProp1169.xml"/><Relationship Id="rId1269" Type="http://schemas.openxmlformats.org/officeDocument/2006/relationships/table" Target="../tables/table78.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ctrlProp" Target="../ctrlProps/ctrlProp1029.xml"/><Relationship Id="rId1129" Type="http://schemas.openxmlformats.org/officeDocument/2006/relationships/ctrlProp" Target="../ctrlProps/ctrlProp1127.xml"/><Relationship Id="rId706" Type="http://schemas.openxmlformats.org/officeDocument/2006/relationships/ctrlProp" Target="../ctrlProps/ctrlProp704.xml"/><Relationship Id="rId913" Type="http://schemas.openxmlformats.org/officeDocument/2006/relationships/ctrlProp" Target="../ctrlProps/ctrlProp911.xml"/><Relationship Id="rId1336" Type="http://schemas.openxmlformats.org/officeDocument/2006/relationships/table" Target="../tables/table145.xml"/><Relationship Id="rId42" Type="http://schemas.openxmlformats.org/officeDocument/2006/relationships/ctrlProp" Target="../ctrlProps/ctrlProp40.xml"/><Relationship Id="rId191" Type="http://schemas.openxmlformats.org/officeDocument/2006/relationships/ctrlProp" Target="../ctrlProps/ctrlProp189.xml"/><Relationship Id="rId289" Type="http://schemas.openxmlformats.org/officeDocument/2006/relationships/ctrlProp" Target="../ctrlProps/ctrlProp287.xml"/><Relationship Id="rId496" Type="http://schemas.openxmlformats.org/officeDocument/2006/relationships/ctrlProp" Target="../ctrlProps/ctrlProp494.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1193" Type="http://schemas.openxmlformats.org/officeDocument/2006/relationships/table" Target="../tables/table2.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ctrlProp" Target="../ctrlProps/ctrlProp1051.xml"/><Relationship Id="rId1260" Type="http://schemas.openxmlformats.org/officeDocument/2006/relationships/table" Target="../tables/table69.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1358" Type="http://schemas.openxmlformats.org/officeDocument/2006/relationships/table" Target="../tables/table167.xml"/><Relationship Id="rId64" Type="http://schemas.openxmlformats.org/officeDocument/2006/relationships/ctrlProp" Target="../ctrlProps/ctrlProp62.xml"/><Relationship Id="rId1120" Type="http://schemas.openxmlformats.org/officeDocument/2006/relationships/ctrlProp" Target="../ctrlProps/ctrlProp1118.xml"/><Relationship Id="rId1218" Type="http://schemas.openxmlformats.org/officeDocument/2006/relationships/table" Target="../tables/table27.xml"/><Relationship Id="rId280" Type="http://schemas.openxmlformats.org/officeDocument/2006/relationships/ctrlProp" Target="../ctrlProps/ctrlProp278.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ctrlProp" Target="../ctrlProps/ctrlProp1073.xml"/><Relationship Id="rId1282" Type="http://schemas.openxmlformats.org/officeDocument/2006/relationships/table" Target="../tables/table91.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1142" Type="http://schemas.openxmlformats.org/officeDocument/2006/relationships/ctrlProp" Target="../ctrlProps/ctrlProp1140.xml"/><Relationship Id="rId86" Type="http://schemas.openxmlformats.org/officeDocument/2006/relationships/ctrlProp" Target="../ctrlProps/ctrlProp84.xml"/><Relationship Id="rId817" Type="http://schemas.openxmlformats.org/officeDocument/2006/relationships/ctrlProp" Target="../ctrlProps/ctrlProp815.xml"/><Relationship Id="rId1002" Type="http://schemas.openxmlformats.org/officeDocument/2006/relationships/ctrlProp" Target="../ctrlProps/ctrlProp1000.xml"/><Relationship Id="rId1307" Type="http://schemas.openxmlformats.org/officeDocument/2006/relationships/table" Target="../tables/table116.xml"/><Relationship Id="rId13" Type="http://schemas.openxmlformats.org/officeDocument/2006/relationships/ctrlProp" Target="../ctrlProps/ctrlProp11.xml"/><Relationship Id="rId162" Type="http://schemas.openxmlformats.org/officeDocument/2006/relationships/ctrlProp" Target="../ctrlProps/ctrlProp160.xml"/><Relationship Id="rId467" Type="http://schemas.openxmlformats.org/officeDocument/2006/relationships/ctrlProp" Target="../ctrlProps/ctrlProp465.xml"/><Relationship Id="rId1097" Type="http://schemas.openxmlformats.org/officeDocument/2006/relationships/ctrlProp" Target="../ctrlProps/ctrlProp1095.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164" Type="http://schemas.openxmlformats.org/officeDocument/2006/relationships/ctrlProp" Target="../ctrlProps/ctrlProp1162.xml"/><Relationship Id="rId1371" Type="http://schemas.openxmlformats.org/officeDocument/2006/relationships/table" Target="../tables/table180.xml"/><Relationship Id="rId601" Type="http://schemas.openxmlformats.org/officeDocument/2006/relationships/ctrlProp" Target="../ctrlProps/ctrlProp599.xml"/><Relationship Id="rId1024" Type="http://schemas.openxmlformats.org/officeDocument/2006/relationships/ctrlProp" Target="../ctrlProps/ctrlProp1022.xml"/><Relationship Id="rId1231" Type="http://schemas.openxmlformats.org/officeDocument/2006/relationships/table" Target="../tables/table40.xml"/><Relationship Id="rId906" Type="http://schemas.openxmlformats.org/officeDocument/2006/relationships/ctrlProp" Target="../ctrlProps/ctrlProp904.xml"/><Relationship Id="rId1329" Type="http://schemas.openxmlformats.org/officeDocument/2006/relationships/table" Target="../tables/table138.xml"/><Relationship Id="rId35" Type="http://schemas.openxmlformats.org/officeDocument/2006/relationships/ctrlProp" Target="../ctrlProps/ctrlProp33.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1242" Type="http://schemas.openxmlformats.org/officeDocument/2006/relationships/table" Target="../tables/table51.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917" Type="http://schemas.openxmlformats.org/officeDocument/2006/relationships/ctrlProp" Target="../ctrlProps/ctrlProp915.xml"/><Relationship Id="rId1102" Type="http://schemas.openxmlformats.org/officeDocument/2006/relationships/ctrlProp" Target="../ctrlProps/ctrlProp1100.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86" Type="http://schemas.openxmlformats.org/officeDocument/2006/relationships/ctrlProp" Target="../ctrlProps/ctrlProp1184.xml"/><Relationship Id="rId111" Type="http://schemas.openxmlformats.org/officeDocument/2006/relationships/ctrlProp" Target="../ctrlProps/ctrlProp109.xml"/><Relationship Id="rId195" Type="http://schemas.openxmlformats.org/officeDocument/2006/relationships/ctrlProp" Target="../ctrlProps/ctrlProp193.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1253" Type="http://schemas.openxmlformats.org/officeDocument/2006/relationships/table" Target="../tables/table62.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57" Type="http://schemas.openxmlformats.org/officeDocument/2006/relationships/ctrlProp" Target="../ctrlProps/ctrlProp55.xml"/><Relationship Id="rId262" Type="http://schemas.openxmlformats.org/officeDocument/2006/relationships/ctrlProp" Target="../ctrlProps/ctrlProp260.xml"/><Relationship Id="rId567" Type="http://schemas.openxmlformats.org/officeDocument/2006/relationships/ctrlProp" Target="../ctrlProps/ctrlProp565.xml"/><Relationship Id="rId1113" Type="http://schemas.openxmlformats.org/officeDocument/2006/relationships/ctrlProp" Target="../ctrlProps/ctrlProp1111.xml"/><Relationship Id="rId1197" Type="http://schemas.openxmlformats.org/officeDocument/2006/relationships/table" Target="../tables/table6.xml"/><Relationship Id="rId1320" Type="http://schemas.openxmlformats.org/officeDocument/2006/relationships/table" Target="../tables/table129.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ctrlProp" Target="../ctrlProps/ctrlProp1055.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1264" Type="http://schemas.openxmlformats.org/officeDocument/2006/relationships/table" Target="../tables/table73.xml"/><Relationship Id="rId273" Type="http://schemas.openxmlformats.org/officeDocument/2006/relationships/ctrlProp" Target="../ctrlProps/ctrlProp271.xml"/><Relationship Id="rId480" Type="http://schemas.openxmlformats.org/officeDocument/2006/relationships/ctrlProp" Target="../ctrlProps/ctrlProp478.xml"/><Relationship Id="rId701" Type="http://schemas.openxmlformats.org/officeDocument/2006/relationships/ctrlProp" Target="../ctrlProps/ctrlProp699.xml"/><Relationship Id="rId939" Type="http://schemas.openxmlformats.org/officeDocument/2006/relationships/ctrlProp" Target="../ctrlProps/ctrlProp937.xml"/><Relationship Id="rId1124" Type="http://schemas.openxmlformats.org/officeDocument/2006/relationships/ctrlProp" Target="../ctrlProps/ctrlProp1122.xml"/><Relationship Id="rId1331" Type="http://schemas.openxmlformats.org/officeDocument/2006/relationships/table" Target="../tables/table140.xml"/><Relationship Id="rId68" Type="http://schemas.openxmlformats.org/officeDocument/2006/relationships/ctrlProp" Target="../ctrlProps/ctrlProp66.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ctrlProp" Target="../ctrlProps/ctrlProp1066.xml"/><Relationship Id="rId1275" Type="http://schemas.openxmlformats.org/officeDocument/2006/relationships/table" Target="../tables/table84.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ctrlProp" Target="../ctrlProps/ctrlProp1133.xml"/><Relationship Id="rId1342" Type="http://schemas.openxmlformats.org/officeDocument/2006/relationships/table" Target="../tables/table151.xml"/><Relationship Id="rId79" Type="http://schemas.openxmlformats.org/officeDocument/2006/relationships/ctrlProp" Target="../ctrlProps/ctrlProp77.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1202" Type="http://schemas.openxmlformats.org/officeDocument/2006/relationships/table" Target="../tables/table11.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ctrlProp" Target="../ctrlProps/ctrlProp1077.xml"/><Relationship Id="rId1286" Type="http://schemas.openxmlformats.org/officeDocument/2006/relationships/table" Target="../tables/table95.xml"/><Relationship Id="rId211" Type="http://schemas.openxmlformats.org/officeDocument/2006/relationships/ctrlProp" Target="../ctrlProps/ctrlProp209.xml"/><Relationship Id="rId295" Type="http://schemas.openxmlformats.org/officeDocument/2006/relationships/ctrlProp" Target="../ctrlProps/ctrlProp293.xml"/><Relationship Id="rId309" Type="http://schemas.openxmlformats.org/officeDocument/2006/relationships/ctrlProp" Target="../ctrlProps/ctrlProp307.xml"/><Relationship Id="rId516" Type="http://schemas.openxmlformats.org/officeDocument/2006/relationships/ctrlProp" Target="../ctrlProps/ctrlProp514.xml"/><Relationship Id="rId1146" Type="http://schemas.openxmlformats.org/officeDocument/2006/relationships/ctrlProp" Target="../ctrlProps/ctrlProp1144.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353" Type="http://schemas.openxmlformats.org/officeDocument/2006/relationships/table" Target="../tables/table162.xml"/><Relationship Id="rId155" Type="http://schemas.openxmlformats.org/officeDocument/2006/relationships/ctrlProp" Target="../ctrlProps/ctrlProp153.xml"/><Relationship Id="rId362" Type="http://schemas.openxmlformats.org/officeDocument/2006/relationships/ctrlProp" Target="../ctrlProps/ctrlProp360.xml"/><Relationship Id="rId1213" Type="http://schemas.openxmlformats.org/officeDocument/2006/relationships/table" Target="../tables/table22.xml"/><Relationship Id="rId1297" Type="http://schemas.openxmlformats.org/officeDocument/2006/relationships/table" Target="../tables/table106.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17" Type="http://schemas.openxmlformats.org/officeDocument/2006/relationships/ctrlProp" Target="../ctrlProps/ctrlProp15.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1157" Type="http://schemas.openxmlformats.org/officeDocument/2006/relationships/ctrlProp" Target="../ctrlProps/ctrlProp1155.xml"/><Relationship Id="rId1364" Type="http://schemas.openxmlformats.org/officeDocument/2006/relationships/table" Target="../tables/table173.xml"/><Relationship Id="rId70" Type="http://schemas.openxmlformats.org/officeDocument/2006/relationships/ctrlProp" Target="../ctrlProps/ctrlProp68.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801" Type="http://schemas.openxmlformats.org/officeDocument/2006/relationships/ctrlProp" Target="../ctrlProps/ctrlProp799.xml"/><Relationship Id="rId1017" Type="http://schemas.openxmlformats.org/officeDocument/2006/relationships/ctrlProp" Target="../ctrlProps/ctrlProp1015.xml"/><Relationship Id="rId1224" Type="http://schemas.openxmlformats.org/officeDocument/2006/relationships/table" Target="../tables/table33.xml"/><Relationship Id="rId1" Type="http://schemas.openxmlformats.org/officeDocument/2006/relationships/drawing" Target="../drawings/drawing1.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ctrlProp" Target="../ctrlProps/ctrlProp1068.xml"/><Relationship Id="rId28" Type="http://schemas.openxmlformats.org/officeDocument/2006/relationships/ctrlProp" Target="../ctrlProps/ctrlProp26.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1168" Type="http://schemas.openxmlformats.org/officeDocument/2006/relationships/ctrlProp" Target="../ctrlProps/ctrlProp1166.xml"/><Relationship Id="rId81" Type="http://schemas.openxmlformats.org/officeDocument/2006/relationships/ctrlProp" Target="../ctrlProps/ctrlProp79.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1235" Type="http://schemas.openxmlformats.org/officeDocument/2006/relationships/table" Target="../tables/table44.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ctrlProp" Target="../ctrlProps/ctrlProp1079.xml"/><Relationship Id="rId1302" Type="http://schemas.openxmlformats.org/officeDocument/2006/relationships/table" Target="../tables/table111.xml"/><Relationship Id="rId39" Type="http://schemas.openxmlformats.org/officeDocument/2006/relationships/ctrlProp" Target="../ctrlProps/ctrlProp37.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179" Type="http://schemas.openxmlformats.org/officeDocument/2006/relationships/ctrlProp" Target="../ctrlProps/ctrlProp1177.xml"/><Relationship Id="rId104" Type="http://schemas.openxmlformats.org/officeDocument/2006/relationships/ctrlProp" Target="../ctrlProps/ctrlProp102.xml"/><Relationship Id="rId188" Type="http://schemas.openxmlformats.org/officeDocument/2006/relationships/ctrlProp" Target="../ctrlProps/ctrlProp186.xml"/><Relationship Id="rId311" Type="http://schemas.openxmlformats.org/officeDocument/2006/relationships/ctrlProp" Target="../ctrlProps/ctrlProp309.xml"/><Relationship Id="rId395" Type="http://schemas.openxmlformats.org/officeDocument/2006/relationships/ctrlProp" Target="../ctrlProps/ctrlProp393.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1246" Type="http://schemas.openxmlformats.org/officeDocument/2006/relationships/table" Target="../tables/table55.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ctrlProp" Target="../ctrlProps/ctrlProp1090.xml"/><Relationship Id="rId1106" Type="http://schemas.openxmlformats.org/officeDocument/2006/relationships/ctrlProp" Target="../ctrlProps/ctrlProp1104.xml"/><Relationship Id="rId1313" Type="http://schemas.openxmlformats.org/officeDocument/2006/relationships/table" Target="../tables/table122.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199" Type="http://schemas.openxmlformats.org/officeDocument/2006/relationships/ctrlProp" Target="../ctrlProps/ctrlProp197.xml"/><Relationship Id="rId627" Type="http://schemas.openxmlformats.org/officeDocument/2006/relationships/ctrlProp" Target="../ctrlProps/ctrlProp625.xml"/><Relationship Id="rId834" Type="http://schemas.openxmlformats.org/officeDocument/2006/relationships/ctrlProp" Target="../ctrlProps/ctrlProp832.xml"/><Relationship Id="rId1257" Type="http://schemas.openxmlformats.org/officeDocument/2006/relationships/table" Target="../tables/table66.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901" Type="http://schemas.openxmlformats.org/officeDocument/2006/relationships/ctrlProp" Target="../ctrlProps/ctrlProp899.xml"/><Relationship Id="rId1117" Type="http://schemas.openxmlformats.org/officeDocument/2006/relationships/ctrlProp" Target="../ctrlProps/ctrlProp1115.xml"/><Relationship Id="rId1324" Type="http://schemas.openxmlformats.org/officeDocument/2006/relationships/table" Target="../tables/table133.xml"/><Relationship Id="rId30" Type="http://schemas.openxmlformats.org/officeDocument/2006/relationships/ctrlProp" Target="../ctrlProps/ctrlProp2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ctrlProp" Target="../ctrlProps/ctrlProp983.xml"/><Relationship Id="rId1170" Type="http://schemas.openxmlformats.org/officeDocument/2006/relationships/ctrlProp" Target="../ctrlProps/ctrlProp1168.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ctrlProp" Target="../ctrlProps/ctrlProp1028.xml"/><Relationship Id="rId1268" Type="http://schemas.openxmlformats.org/officeDocument/2006/relationships/table" Target="../tables/table77.xml"/><Relationship Id="rId277" Type="http://schemas.openxmlformats.org/officeDocument/2006/relationships/ctrlProp" Target="../ctrlProps/ctrlProp275.xml"/><Relationship Id="rId400" Type="http://schemas.openxmlformats.org/officeDocument/2006/relationships/ctrlProp" Target="../ctrlProps/ctrlProp398.xml"/><Relationship Id="rId484" Type="http://schemas.openxmlformats.org/officeDocument/2006/relationships/ctrlProp" Target="../ctrlProps/ctrlProp482.xml"/><Relationship Id="rId705" Type="http://schemas.openxmlformats.org/officeDocument/2006/relationships/ctrlProp" Target="../ctrlProps/ctrlProp703.xml"/><Relationship Id="rId1128" Type="http://schemas.openxmlformats.org/officeDocument/2006/relationships/ctrlProp" Target="../ctrlProps/ctrlProp1126.xml"/><Relationship Id="rId1335" Type="http://schemas.openxmlformats.org/officeDocument/2006/relationships/table" Target="../tables/table144.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12" Type="http://schemas.openxmlformats.org/officeDocument/2006/relationships/ctrlProp" Target="../ctrlProps/ctrlProp910.xml"/><Relationship Id="rId996" Type="http://schemas.openxmlformats.org/officeDocument/2006/relationships/ctrlProp" Target="../ctrlProps/ctrlProp994.xml"/><Relationship Id="rId41" Type="http://schemas.openxmlformats.org/officeDocument/2006/relationships/ctrlProp" Target="../ctrlProps/ctrlProp39.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181" Type="http://schemas.openxmlformats.org/officeDocument/2006/relationships/ctrlProp" Target="../ctrlProps/ctrlProp1179.xml"/><Relationship Id="rId1279" Type="http://schemas.openxmlformats.org/officeDocument/2006/relationships/table" Target="../tables/table88.xml"/><Relationship Id="rId190" Type="http://schemas.openxmlformats.org/officeDocument/2006/relationships/ctrlProp" Target="../ctrlProps/ctrlProp188.xml"/><Relationship Id="rId204" Type="http://schemas.openxmlformats.org/officeDocument/2006/relationships/ctrlProp" Target="../ctrlProps/ctrlProp202.xml"/><Relationship Id="rId288" Type="http://schemas.openxmlformats.org/officeDocument/2006/relationships/ctrlProp" Target="../ctrlProps/ctrlProp286.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ctrlProp" Target="../ctrlProps/ctrlProp1137.xml"/><Relationship Id="rId1346" Type="http://schemas.openxmlformats.org/officeDocument/2006/relationships/table" Target="../tables/table155.xml"/><Relationship Id="rId495" Type="http://schemas.openxmlformats.org/officeDocument/2006/relationships/ctrlProp" Target="../ctrlProps/ctrlProp493.xml"/><Relationship Id="rId716" Type="http://schemas.openxmlformats.org/officeDocument/2006/relationships/ctrlProp" Target="../ctrlProps/ctrlProp714.xml"/><Relationship Id="rId923" Type="http://schemas.openxmlformats.org/officeDocument/2006/relationships/ctrlProp" Target="../ctrlProps/ctrlProp921.xml"/><Relationship Id="rId52" Type="http://schemas.openxmlformats.org/officeDocument/2006/relationships/ctrlProp" Target="../ctrlProps/ctrlProp50.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1192" Type="http://schemas.openxmlformats.org/officeDocument/2006/relationships/table" Target="../tables/table1.xml"/><Relationship Id="rId1206" Type="http://schemas.openxmlformats.org/officeDocument/2006/relationships/table" Target="../tables/table15.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ctrlProp" Target="../ctrlProps/ctrlProp1050.xml"/><Relationship Id="rId299" Type="http://schemas.openxmlformats.org/officeDocument/2006/relationships/ctrlProp" Target="../ctrlProps/ctrlProp297.xml"/><Relationship Id="rId727" Type="http://schemas.openxmlformats.org/officeDocument/2006/relationships/ctrlProp" Target="../ctrlProps/ctrlProp725.xml"/><Relationship Id="rId934" Type="http://schemas.openxmlformats.org/officeDocument/2006/relationships/ctrlProp" Target="../ctrlProps/ctrlProp932.xml"/><Relationship Id="rId1357" Type="http://schemas.openxmlformats.org/officeDocument/2006/relationships/table" Target="../tables/table166.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1217" Type="http://schemas.openxmlformats.org/officeDocument/2006/relationships/table" Target="../tables/table26.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trlProp" Target="../ctrlProps/ctrlProp1061.xml"/><Relationship Id="rId1270" Type="http://schemas.openxmlformats.org/officeDocument/2006/relationships/table" Target="../tables/table79.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1368" Type="http://schemas.openxmlformats.org/officeDocument/2006/relationships/table" Target="../tables/table177.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ctrlProp" Target="../ctrlProps/ctrlProp803.xml"/><Relationship Id="rId1130" Type="http://schemas.openxmlformats.org/officeDocument/2006/relationships/ctrlProp" Target="../ctrlProps/ctrlProp1128.xml"/><Relationship Id="rId1228" Type="http://schemas.openxmlformats.org/officeDocument/2006/relationships/table" Target="../tables/table37.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ctrlProp" Target="../ctrlProps/ctrlProp1072.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1281" Type="http://schemas.openxmlformats.org/officeDocument/2006/relationships/table" Target="../tables/table90.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1141" Type="http://schemas.openxmlformats.org/officeDocument/2006/relationships/ctrlProp" Target="../ctrlProps/ctrlProp1139.xml"/><Relationship Id="rId1239" Type="http://schemas.openxmlformats.org/officeDocument/2006/relationships/table" Target="../tables/table48.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ctrlProp" Target="../ctrlProps/ctrlProp814.xml"/><Relationship Id="rId1001" Type="http://schemas.openxmlformats.org/officeDocument/2006/relationships/ctrlProp" Target="../ctrlProps/ctrlProp999.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ctrlProp" Target="../ctrlProps/ctrlProp1083.xml"/><Relationship Id="rId1292" Type="http://schemas.openxmlformats.org/officeDocument/2006/relationships/table" Target="../tables/table101.xml"/><Relationship Id="rId1306" Type="http://schemas.openxmlformats.org/officeDocument/2006/relationships/table" Target="../tables/table115.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1152" Type="http://schemas.openxmlformats.org/officeDocument/2006/relationships/ctrlProp" Target="../ctrlProps/ctrlProp115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ctrlProp" Target="../ctrlProps/ctrlProp825.xml"/><Relationship Id="rId1012" Type="http://schemas.openxmlformats.org/officeDocument/2006/relationships/ctrlProp" Target="../ctrlProps/ctrlProp1010.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ctrlProp" Target="../ctrlProps/ctrlProp1094.xml"/><Relationship Id="rId1317" Type="http://schemas.openxmlformats.org/officeDocument/2006/relationships/table" Target="../tables/table126.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1163" Type="http://schemas.openxmlformats.org/officeDocument/2006/relationships/ctrlProp" Target="../ctrlProps/ctrlProp1161.xml"/><Relationship Id="rId1370" Type="http://schemas.openxmlformats.org/officeDocument/2006/relationships/table" Target="../tables/table179.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ctrlProp" Target="../ctrlProps/ctrlProp102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1230" Type="http://schemas.openxmlformats.org/officeDocument/2006/relationships/table" Target="../tables/table39.xml"/><Relationship Id="rId1328" Type="http://schemas.openxmlformats.org/officeDocument/2006/relationships/table" Target="../tables/table137.xml"/><Relationship Id="rId337" Type="http://schemas.openxmlformats.org/officeDocument/2006/relationships/ctrlProp" Target="../ctrlProps/ctrlProp335.xml"/><Relationship Id="rId891" Type="http://schemas.openxmlformats.org/officeDocument/2006/relationships/ctrlProp" Target="../ctrlProps/ctrlProp889.xml"/><Relationship Id="rId905" Type="http://schemas.openxmlformats.org/officeDocument/2006/relationships/ctrlProp" Target="../ctrlProps/ctrlProp903.xml"/><Relationship Id="rId989" Type="http://schemas.openxmlformats.org/officeDocument/2006/relationships/ctrlProp" Target="../ctrlProps/ctrlProp987.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174" Type="http://schemas.openxmlformats.org/officeDocument/2006/relationships/ctrlProp" Target="../ctrlProps/ctrlProp117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1241" Type="http://schemas.openxmlformats.org/officeDocument/2006/relationships/table" Target="../tables/table50.xml"/><Relationship Id="rId1339" Type="http://schemas.openxmlformats.org/officeDocument/2006/relationships/table" Target="../tables/table148.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ctrlProp" Target="../ctrlProps/ctrlProp1099.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185" Type="http://schemas.openxmlformats.org/officeDocument/2006/relationships/ctrlProp" Target="../ctrlProps/ctrlProp118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1252" Type="http://schemas.openxmlformats.org/officeDocument/2006/relationships/table" Target="../tables/table61.xml"/><Relationship Id="rId261" Type="http://schemas.openxmlformats.org/officeDocument/2006/relationships/ctrlProp" Target="../ctrlProps/ctrlProp259.xml"/><Relationship Id="rId499" Type="http://schemas.openxmlformats.org/officeDocument/2006/relationships/ctrlProp" Target="../ctrlProps/ctrlProp497.xml"/><Relationship Id="rId927" Type="http://schemas.openxmlformats.org/officeDocument/2006/relationships/ctrlProp" Target="../ctrlProps/ctrlProp925.xml"/><Relationship Id="rId1112" Type="http://schemas.openxmlformats.org/officeDocument/2006/relationships/ctrlProp" Target="../ctrlProps/ctrlProp1110.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196" Type="http://schemas.openxmlformats.org/officeDocument/2006/relationships/table" Target="../tables/table5.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ctrlProp" Target="../ctrlProps/ctrlProp1054.xml"/><Relationship Id="rId1263" Type="http://schemas.openxmlformats.org/officeDocument/2006/relationships/table" Target="../tables/table72.xml"/><Relationship Id="rId840" Type="http://schemas.openxmlformats.org/officeDocument/2006/relationships/ctrlProp" Target="../ctrlProps/ctrlProp838.xml"/><Relationship Id="rId938" Type="http://schemas.openxmlformats.org/officeDocument/2006/relationships/ctrlProp" Target="../ctrlProps/ctrlProp936.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123" Type="http://schemas.openxmlformats.org/officeDocument/2006/relationships/ctrlProp" Target="../ctrlProps/ctrlProp1121.xml"/><Relationship Id="rId1330" Type="http://schemas.openxmlformats.org/officeDocument/2006/relationships/table" Target="../tables/table139.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ctrlProp" Target="../ctrlProps/ctrlProp1065.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1274" Type="http://schemas.openxmlformats.org/officeDocument/2006/relationships/table" Target="../tables/table83.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1134" Type="http://schemas.openxmlformats.org/officeDocument/2006/relationships/ctrlProp" Target="../ctrlProps/ctrlProp1132.xml"/><Relationship Id="rId1341" Type="http://schemas.openxmlformats.org/officeDocument/2006/relationships/table" Target="../tables/table150.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809" Type="http://schemas.openxmlformats.org/officeDocument/2006/relationships/ctrlProp" Target="../ctrlProps/ctrlProp807.xml"/><Relationship Id="rId1201" Type="http://schemas.openxmlformats.org/officeDocument/2006/relationships/table" Target="../tables/table10.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ctrlProp" Target="../ctrlProps/ctrlProp1076.xml"/><Relationship Id="rId1285" Type="http://schemas.openxmlformats.org/officeDocument/2006/relationships/table" Target="../tables/table94.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trlProp" Target="../ctrlProps/ctrlProp1143.xml"/><Relationship Id="rId1352" Type="http://schemas.openxmlformats.org/officeDocument/2006/relationships/table" Target="../tables/table161.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1005" Type="http://schemas.openxmlformats.org/officeDocument/2006/relationships/ctrlProp" Target="../ctrlProps/ctrlProp1003.xml"/><Relationship Id="rId1212" Type="http://schemas.openxmlformats.org/officeDocument/2006/relationships/table" Target="../tables/table21.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ctrlProp" Target="../ctrlProps/ctrlProp1087.xml"/><Relationship Id="rId1296" Type="http://schemas.openxmlformats.org/officeDocument/2006/relationships/table" Target="../tables/table105.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1156" Type="http://schemas.openxmlformats.org/officeDocument/2006/relationships/ctrlProp" Target="../ctrlProps/ctrlProp1154.xml"/><Relationship Id="rId1363" Type="http://schemas.openxmlformats.org/officeDocument/2006/relationships/table" Target="../tables/table172.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1223" Type="http://schemas.openxmlformats.org/officeDocument/2006/relationships/table" Target="../tables/table32.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1167" Type="http://schemas.openxmlformats.org/officeDocument/2006/relationships/ctrlProp" Target="../ctrlProps/ctrlProp1165.xml"/><Relationship Id="rId1374" Type="http://schemas.openxmlformats.org/officeDocument/2006/relationships/comments" Target="../comments1.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1234" Type="http://schemas.openxmlformats.org/officeDocument/2006/relationships/table" Target="../tables/table43.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ctrlProp" Target="../ctrlProps/ctrlProp907.xml"/><Relationship Id="rId1080" Type="http://schemas.openxmlformats.org/officeDocument/2006/relationships/ctrlProp" Target="../ctrlProps/ctrlProp1078.xml"/><Relationship Id="rId1301" Type="http://schemas.openxmlformats.org/officeDocument/2006/relationships/table" Target="../tables/table110.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1178" Type="http://schemas.openxmlformats.org/officeDocument/2006/relationships/ctrlProp" Target="../ctrlProps/ctrlProp1176.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1245" Type="http://schemas.openxmlformats.org/officeDocument/2006/relationships/table" Target="../tables/table54.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ctrlProp" Target="../ctrlProps/ctrlProp1089.xml"/><Relationship Id="rId1105" Type="http://schemas.openxmlformats.org/officeDocument/2006/relationships/ctrlProp" Target="../ctrlProps/ctrlProp1103.xml"/><Relationship Id="rId1312" Type="http://schemas.openxmlformats.org/officeDocument/2006/relationships/table" Target="../tables/table121.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189" Type="http://schemas.openxmlformats.org/officeDocument/2006/relationships/ctrlProp" Target="../ctrlProps/ctrlProp1187.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1256" Type="http://schemas.openxmlformats.org/officeDocument/2006/relationships/table" Target="../tables/table65.xml"/><Relationship Id="rId833" Type="http://schemas.openxmlformats.org/officeDocument/2006/relationships/ctrlProp" Target="../ctrlProps/ctrlProp831.xml"/><Relationship Id="rId1116" Type="http://schemas.openxmlformats.org/officeDocument/2006/relationships/ctrlProp" Target="../ctrlProps/ctrlProp1114.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323" Type="http://schemas.openxmlformats.org/officeDocument/2006/relationships/table" Target="../tables/table132.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ctrlProp" Target="../ctrlProps/ctrlProp982.xml"/><Relationship Id="rId637" Type="http://schemas.openxmlformats.org/officeDocument/2006/relationships/ctrlProp" Target="../ctrlProps/ctrlProp635.xml"/><Relationship Id="rId844" Type="http://schemas.openxmlformats.org/officeDocument/2006/relationships/ctrlProp" Target="../ctrlProps/ctrlProp842.xml"/><Relationship Id="rId1267" Type="http://schemas.openxmlformats.org/officeDocument/2006/relationships/table" Target="../tables/table76.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ctrlProp" Target="../ctrlProps/ctrlProp1125.xml"/><Relationship Id="rId1334" Type="http://schemas.openxmlformats.org/officeDocument/2006/relationships/table" Target="../tables/table143.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1180" Type="http://schemas.openxmlformats.org/officeDocument/2006/relationships/ctrlProp" Target="../ctrlProps/ctrlProp1178.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1278" Type="http://schemas.openxmlformats.org/officeDocument/2006/relationships/table" Target="../tables/table87.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ctrlProp" Target="../ctrlProps/ctrlProp1136.xml"/><Relationship Id="rId1345" Type="http://schemas.openxmlformats.org/officeDocument/2006/relationships/table" Target="../tables/table154.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1191" Type="http://schemas.openxmlformats.org/officeDocument/2006/relationships/ctrlProp" Target="../ctrlProps/ctrlProp1189.xml"/><Relationship Id="rId1205" Type="http://schemas.openxmlformats.org/officeDocument/2006/relationships/table" Target="../tables/table14.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1289" Type="http://schemas.openxmlformats.org/officeDocument/2006/relationships/table" Target="../tables/table98.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ctrlProp" Target="../ctrlProps/ctrlProp1049.xml"/><Relationship Id="rId1149" Type="http://schemas.openxmlformats.org/officeDocument/2006/relationships/ctrlProp" Target="../ctrlProps/ctrlProp1147.xml"/><Relationship Id="rId1356" Type="http://schemas.openxmlformats.org/officeDocument/2006/relationships/table" Target="../tables/table165.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1216" Type="http://schemas.openxmlformats.org/officeDocument/2006/relationships/table" Target="../tables/table25.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ctrlProp" Target="../ctrlProps/ctrlProp1060.xml"/><Relationship Id="rId737" Type="http://schemas.openxmlformats.org/officeDocument/2006/relationships/ctrlProp" Target="../ctrlProps/ctrlProp735.xml"/><Relationship Id="rId944" Type="http://schemas.openxmlformats.org/officeDocument/2006/relationships/ctrlProp" Target="../ctrlProps/ctrlProp942.xml"/><Relationship Id="rId1367" Type="http://schemas.openxmlformats.org/officeDocument/2006/relationships/table" Target="../tables/table176.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1227" Type="http://schemas.openxmlformats.org/officeDocument/2006/relationships/table" Target="../tables/table36.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ctrlProp" Target="../ctrlProps/ctrlProp1071.xml"/><Relationship Id="rId1280" Type="http://schemas.openxmlformats.org/officeDocument/2006/relationships/table" Target="../tables/table89.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1140" Type="http://schemas.openxmlformats.org/officeDocument/2006/relationships/ctrlProp" Target="../ctrlProps/ctrlProp1138.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1238" Type="http://schemas.openxmlformats.org/officeDocument/2006/relationships/table" Target="../tables/table47.xml"/><Relationship Id="rId247" Type="http://schemas.openxmlformats.org/officeDocument/2006/relationships/ctrlProp" Target="../ctrlProps/ctrlProp245.xml"/><Relationship Id="rId899" Type="http://schemas.openxmlformats.org/officeDocument/2006/relationships/ctrlProp" Target="../ctrlProps/ctrlProp897.xml"/><Relationship Id="rId1000" Type="http://schemas.openxmlformats.org/officeDocument/2006/relationships/ctrlProp" Target="../ctrlProps/ctrlProp998.xml"/><Relationship Id="rId1084" Type="http://schemas.openxmlformats.org/officeDocument/2006/relationships/ctrlProp" Target="../ctrlProps/ctrlProp1082.xml"/><Relationship Id="rId1305" Type="http://schemas.openxmlformats.org/officeDocument/2006/relationships/table" Target="../tables/table114.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291" Type="http://schemas.openxmlformats.org/officeDocument/2006/relationships/table" Target="../tables/table100.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1151" Type="http://schemas.openxmlformats.org/officeDocument/2006/relationships/ctrlProp" Target="../ctrlProps/ctrlProp1149.xml"/><Relationship Id="rId1249" Type="http://schemas.openxmlformats.org/officeDocument/2006/relationships/table" Target="../tables/table58.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ctrlProp" Target="../ctrlProps/ctrlProp1107.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ctrlProp" Target="../ctrlProps/ctrlProp1093.xml"/><Relationship Id="rId1316" Type="http://schemas.openxmlformats.org/officeDocument/2006/relationships/table" Target="../tables/table125.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162" Type="http://schemas.openxmlformats.org/officeDocument/2006/relationships/ctrlProp" Target="../ctrlProps/ctrlProp1160.xml"/><Relationship Id="rId171" Type="http://schemas.openxmlformats.org/officeDocument/2006/relationships/ctrlProp" Target="../ctrlProps/ctrlProp169.xml"/><Relationship Id="rId837" Type="http://schemas.openxmlformats.org/officeDocument/2006/relationships/ctrlProp" Target="../ctrlProps/ctrlProp835.xml"/><Relationship Id="rId1022" Type="http://schemas.openxmlformats.org/officeDocument/2006/relationships/ctrlProp" Target="../ctrlProps/ctrlProp1020.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ctrlProp" Target="../ctrlProps/ctrlProp902.xml"/><Relationship Id="rId1327" Type="http://schemas.openxmlformats.org/officeDocument/2006/relationships/table" Target="../tables/table136.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173" Type="http://schemas.openxmlformats.org/officeDocument/2006/relationships/ctrlProp" Target="../ctrlProps/ctrlProp1171.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ctrlProp" Target="../ctrlProps/ctrlProp913.xml"/><Relationship Id="rId1240" Type="http://schemas.openxmlformats.org/officeDocument/2006/relationships/table" Target="../tables/table49.xml"/><Relationship Id="rId1338" Type="http://schemas.openxmlformats.org/officeDocument/2006/relationships/table" Target="../tables/table147.xml"/><Relationship Id="rId347" Type="http://schemas.openxmlformats.org/officeDocument/2006/relationships/ctrlProp" Target="../ctrlProps/ctrlProp345.xml"/><Relationship Id="rId999" Type="http://schemas.openxmlformats.org/officeDocument/2006/relationships/ctrlProp" Target="../ctrlProps/ctrlProp997.xml"/><Relationship Id="rId1100" Type="http://schemas.openxmlformats.org/officeDocument/2006/relationships/ctrlProp" Target="../ctrlProps/ctrlProp1098.xml"/><Relationship Id="rId1184" Type="http://schemas.openxmlformats.org/officeDocument/2006/relationships/ctrlProp" Target="../ctrlProps/ctrlProp1182.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ctrlProp" Target="../ctrlProps/ctrlProp1042.xml"/><Relationship Id="rId1251" Type="http://schemas.openxmlformats.org/officeDocument/2006/relationships/table" Target="../tables/table60.xml"/><Relationship Id="rId1349" Type="http://schemas.openxmlformats.org/officeDocument/2006/relationships/table" Target="../tables/table158.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1111" Type="http://schemas.openxmlformats.org/officeDocument/2006/relationships/ctrlProp" Target="../ctrlProps/ctrlProp1109.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1195" Type="http://schemas.openxmlformats.org/officeDocument/2006/relationships/table" Target="../tables/table4.xml"/><Relationship Id="rId1209" Type="http://schemas.openxmlformats.org/officeDocument/2006/relationships/table" Target="../tables/table18.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ctrlProp" Target="../ctrlProps/ctrlProp1053.xml"/><Relationship Id="rId1262" Type="http://schemas.openxmlformats.org/officeDocument/2006/relationships/table" Target="../tables/table71.xml"/><Relationship Id="rId271" Type="http://schemas.openxmlformats.org/officeDocument/2006/relationships/ctrlProp" Target="../ctrlProps/ctrlProp269.xml"/><Relationship Id="rId937" Type="http://schemas.openxmlformats.org/officeDocument/2006/relationships/ctrlProp" Target="../ctrlProps/ctrlProp935.xml"/><Relationship Id="rId1122" Type="http://schemas.openxmlformats.org/officeDocument/2006/relationships/ctrlProp" Target="../ctrlProps/ctrlProp1120.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ctrlProp" Target="../ctrlProps/ctrlProp1064.xml"/><Relationship Id="rId1273" Type="http://schemas.openxmlformats.org/officeDocument/2006/relationships/table" Target="../tables/table82.xml"/><Relationship Id="rId850" Type="http://schemas.openxmlformats.org/officeDocument/2006/relationships/ctrlProp" Target="../ctrlProps/ctrlProp848.xml"/><Relationship Id="rId948" Type="http://schemas.openxmlformats.org/officeDocument/2006/relationships/ctrlProp" Target="../ctrlProps/ctrlProp946.xml"/><Relationship Id="rId1133" Type="http://schemas.openxmlformats.org/officeDocument/2006/relationships/ctrlProp" Target="../ctrlProps/ctrlProp1131.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1340" Type="http://schemas.openxmlformats.org/officeDocument/2006/relationships/table" Target="../tables/table149.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ctrlProp" Target="../ctrlProps/ctrlProp1075.xml"/><Relationship Id="rId1200" Type="http://schemas.openxmlformats.org/officeDocument/2006/relationships/table" Target="../tables/table9.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1284" Type="http://schemas.openxmlformats.org/officeDocument/2006/relationships/table" Target="../tables/table93.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ctrlProp" Target="../ctrlProps/ctrlProp1142.xml"/><Relationship Id="rId1351" Type="http://schemas.openxmlformats.org/officeDocument/2006/relationships/table" Target="../tables/table160.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ctrlProp" Target="../ctrlProps/ctrlProp1002.xml"/><Relationship Id="rId1211" Type="http://schemas.openxmlformats.org/officeDocument/2006/relationships/table" Target="../tables/table20.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ctrlProp" Target="../ctrlProps/ctrlProp1086.xml"/><Relationship Id="rId1295" Type="http://schemas.openxmlformats.org/officeDocument/2006/relationships/table" Target="../tables/table104.xml"/><Relationship Id="rId1309" Type="http://schemas.openxmlformats.org/officeDocument/2006/relationships/table" Target="../tables/table118.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1155" Type="http://schemas.openxmlformats.org/officeDocument/2006/relationships/ctrlProp" Target="../ctrlProps/ctrlProp1153.xml"/><Relationship Id="rId1362" Type="http://schemas.openxmlformats.org/officeDocument/2006/relationships/table" Target="../tables/table171.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ctrlProp" Target="../ctrlProps/ctrlProp1013.xml"/><Relationship Id="rId1222" Type="http://schemas.openxmlformats.org/officeDocument/2006/relationships/table" Target="../tables/table31.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ctrlProp" Target="../ctrlProps/ctrlProp1097.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166" Type="http://schemas.openxmlformats.org/officeDocument/2006/relationships/ctrlProp" Target="../ctrlProps/ctrlProp1164.xml"/><Relationship Id="rId1373" Type="http://schemas.openxmlformats.org/officeDocument/2006/relationships/table" Target="../tables/table182.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1233" Type="http://schemas.openxmlformats.org/officeDocument/2006/relationships/table" Target="../tables/table42.xml"/><Relationship Id="rId242" Type="http://schemas.openxmlformats.org/officeDocument/2006/relationships/ctrlProp" Target="../ctrlProps/ctrlProp240.xml"/><Relationship Id="rId894" Type="http://schemas.openxmlformats.org/officeDocument/2006/relationships/ctrlProp" Target="../ctrlProps/ctrlProp892.xml"/><Relationship Id="rId1177" Type="http://schemas.openxmlformats.org/officeDocument/2006/relationships/ctrlProp" Target="../ctrlProps/ctrlProp1175.xml"/><Relationship Id="rId1300" Type="http://schemas.openxmlformats.org/officeDocument/2006/relationships/table" Target="../tables/table109.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1244" Type="http://schemas.openxmlformats.org/officeDocument/2006/relationships/table" Target="../tables/table53.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1090" Type="http://schemas.openxmlformats.org/officeDocument/2006/relationships/ctrlProp" Target="../ctrlProps/ctrlProp1088.xml"/><Relationship Id="rId1104" Type="http://schemas.openxmlformats.org/officeDocument/2006/relationships/ctrlProp" Target="../ctrlProps/ctrlProp1102.xml"/><Relationship Id="rId1311" Type="http://schemas.openxmlformats.org/officeDocument/2006/relationships/table" Target="../tables/table120.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188" Type="http://schemas.openxmlformats.org/officeDocument/2006/relationships/ctrlProp" Target="../ctrlProps/ctrlProp1186.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1255" Type="http://schemas.openxmlformats.org/officeDocument/2006/relationships/table" Target="../tables/table64.xml"/><Relationship Id="rId264" Type="http://schemas.openxmlformats.org/officeDocument/2006/relationships/ctrlProp" Target="../ctrlProps/ctrlProp262.xml"/><Relationship Id="rId471" Type="http://schemas.openxmlformats.org/officeDocument/2006/relationships/ctrlProp" Target="../ctrlProps/ctrlProp469.xml"/><Relationship Id="rId1115" Type="http://schemas.openxmlformats.org/officeDocument/2006/relationships/ctrlProp" Target="../ctrlProps/ctrlProp1113.xml"/><Relationship Id="rId1322" Type="http://schemas.openxmlformats.org/officeDocument/2006/relationships/table" Target="../tables/table131.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1199" Type="http://schemas.openxmlformats.org/officeDocument/2006/relationships/table" Target="../tables/table8.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ctrlProp" Target="../ctrlProps/ctrlProp1057.xml"/><Relationship Id="rId1266" Type="http://schemas.openxmlformats.org/officeDocument/2006/relationships/table" Target="../tables/table75.xml"/><Relationship Id="rId843" Type="http://schemas.openxmlformats.org/officeDocument/2006/relationships/ctrlProp" Target="../ctrlProps/ctrlProp841.xml"/><Relationship Id="rId1126" Type="http://schemas.openxmlformats.org/officeDocument/2006/relationships/ctrlProp" Target="../ctrlProps/ctrlProp1124.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33" Type="http://schemas.openxmlformats.org/officeDocument/2006/relationships/table" Target="../tables/table142.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1277" Type="http://schemas.openxmlformats.org/officeDocument/2006/relationships/table" Target="../tables/table86.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ctrlProp" Target="../ctrlProps/ctrlProp1135.xml"/><Relationship Id="rId1344" Type="http://schemas.openxmlformats.org/officeDocument/2006/relationships/table" Target="../tables/table153.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1190" Type="http://schemas.openxmlformats.org/officeDocument/2006/relationships/ctrlProp" Target="../ctrlProps/ctrlProp1188.xml"/><Relationship Id="rId1204" Type="http://schemas.openxmlformats.org/officeDocument/2006/relationships/table" Target="../tables/table13.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ctrlProp" Target="../ctrlProps/ctrlProp1048.xml"/><Relationship Id="rId1288" Type="http://schemas.openxmlformats.org/officeDocument/2006/relationships/table" Target="../tables/table97.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148" Type="http://schemas.openxmlformats.org/officeDocument/2006/relationships/ctrlProp" Target="../ctrlProps/ctrlProp1146.xml"/><Relationship Id="rId1355" Type="http://schemas.openxmlformats.org/officeDocument/2006/relationships/table" Target="../tables/table164.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ctrlProp" Target="../ctrlProps/ctrlProp1006.xml"/><Relationship Id="rId1215" Type="http://schemas.openxmlformats.org/officeDocument/2006/relationships/table" Target="../tables/table24.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299" Type="http://schemas.openxmlformats.org/officeDocument/2006/relationships/table" Target="../tables/table108.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ctrlProp" Target="../ctrlProps/ctrlProp1059.xml"/><Relationship Id="rId1159" Type="http://schemas.openxmlformats.org/officeDocument/2006/relationships/ctrlProp" Target="../ctrlProps/ctrlProp1157.xml"/><Relationship Id="rId1366" Type="http://schemas.openxmlformats.org/officeDocument/2006/relationships/table" Target="../tables/table175.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ctrlProp" Target="../ctrlProps/ctrlProp1017.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1226" Type="http://schemas.openxmlformats.org/officeDocument/2006/relationships/table" Target="../tables/table35.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ctrlProp" Target="../ctrlProps/ctrlProp1070.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1237" Type="http://schemas.openxmlformats.org/officeDocument/2006/relationships/table" Target="../tables/table46.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trlProp" Target="../ctrlProps/ctrlProp1081.xml"/><Relationship Id="rId1290" Type="http://schemas.openxmlformats.org/officeDocument/2006/relationships/table" Target="../tables/table99.xml"/><Relationship Id="rId1304" Type="http://schemas.openxmlformats.org/officeDocument/2006/relationships/table" Target="../tables/table113.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150" Type="http://schemas.openxmlformats.org/officeDocument/2006/relationships/ctrlProp" Target="../ctrlProps/ctrlProp1148.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1248" Type="http://schemas.openxmlformats.org/officeDocument/2006/relationships/table" Target="../tables/table57.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ctrlProp" Target="../ctrlProps/ctrlProp1008.xml"/><Relationship Id="rId1094" Type="http://schemas.openxmlformats.org/officeDocument/2006/relationships/ctrlProp" Target="../ctrlProps/ctrlProp1092.xml"/><Relationship Id="rId1108" Type="http://schemas.openxmlformats.org/officeDocument/2006/relationships/ctrlProp" Target="../ctrlProps/ctrlProp1106.xml"/><Relationship Id="rId1315" Type="http://schemas.openxmlformats.org/officeDocument/2006/relationships/table" Target="../tables/table124.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161" Type="http://schemas.openxmlformats.org/officeDocument/2006/relationships/ctrlProp" Target="../ctrlProps/ctrlProp1159.xml"/><Relationship Id="rId1259" Type="http://schemas.openxmlformats.org/officeDocument/2006/relationships/table" Target="../tables/table68.xml"/><Relationship Id="rId836" Type="http://schemas.openxmlformats.org/officeDocument/2006/relationships/ctrlProp" Target="../ctrlProps/ctrlProp834.xml"/><Relationship Id="rId1021" Type="http://schemas.openxmlformats.org/officeDocument/2006/relationships/ctrlProp" Target="../ctrlProps/ctrlProp1019.xml"/><Relationship Id="rId1119" Type="http://schemas.openxmlformats.org/officeDocument/2006/relationships/ctrlProp" Target="../ctrlProps/ctrlProp1117.xml"/><Relationship Id="rId903" Type="http://schemas.openxmlformats.org/officeDocument/2006/relationships/ctrlProp" Target="../ctrlProps/ctrlProp901.xml"/><Relationship Id="rId1326" Type="http://schemas.openxmlformats.org/officeDocument/2006/relationships/table" Target="../tables/table135.xml"/><Relationship Id="rId32" Type="http://schemas.openxmlformats.org/officeDocument/2006/relationships/ctrlProp" Target="../ctrlProps/ctrlProp30.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ctrlProp" Target="../ctrlProps/ctrlProp996.xml"/><Relationship Id="rId1183" Type="http://schemas.openxmlformats.org/officeDocument/2006/relationships/ctrlProp" Target="../ctrlProps/ctrlProp1181.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ctrlProp" Target="../ctrlProps/ctrlProp1041.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1250" Type="http://schemas.openxmlformats.org/officeDocument/2006/relationships/table" Target="../tables/table59.xml"/><Relationship Id="rId1348" Type="http://schemas.openxmlformats.org/officeDocument/2006/relationships/table" Target="../tables/table157.xml"/><Relationship Id="rId1110" Type="http://schemas.openxmlformats.org/officeDocument/2006/relationships/ctrlProp" Target="../ctrlProps/ctrlProp1108.xml"/><Relationship Id="rId1208" Type="http://schemas.openxmlformats.org/officeDocument/2006/relationships/table" Target="../tables/table17.xml"/><Relationship Id="rId54" Type="http://schemas.openxmlformats.org/officeDocument/2006/relationships/ctrlProp" Target="../ctrlProps/ctrlProp52.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ctrlProp" Target="../ctrlProps/ctrlProp1063.xml"/><Relationship Id="rId1272" Type="http://schemas.openxmlformats.org/officeDocument/2006/relationships/table" Target="../tables/table81.xml"/><Relationship Id="rId502" Type="http://schemas.openxmlformats.org/officeDocument/2006/relationships/ctrlProp" Target="../ctrlProps/ctrlProp500.xml"/><Relationship Id="rId947" Type="http://schemas.openxmlformats.org/officeDocument/2006/relationships/ctrlProp" Target="../ctrlProps/ctrlProp945.xml"/><Relationship Id="rId1132" Type="http://schemas.openxmlformats.org/officeDocument/2006/relationships/ctrlProp" Target="../ctrlProps/ctrlProp1130.xml"/><Relationship Id="rId76" Type="http://schemas.openxmlformats.org/officeDocument/2006/relationships/ctrlProp" Target="../ctrlProps/ctrlProp74.xml"/><Relationship Id="rId807" Type="http://schemas.openxmlformats.org/officeDocument/2006/relationships/ctrlProp" Target="../ctrlProps/ctrlProp805.xml"/><Relationship Id="rId292" Type="http://schemas.openxmlformats.org/officeDocument/2006/relationships/ctrlProp" Target="../ctrlProps/ctrlProp290.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1087" Type="http://schemas.openxmlformats.org/officeDocument/2006/relationships/ctrlProp" Target="../ctrlProps/ctrlProp1085.xml"/><Relationship Id="rId1294" Type="http://schemas.openxmlformats.org/officeDocument/2006/relationships/table" Target="../tables/table103.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1154" Type="http://schemas.openxmlformats.org/officeDocument/2006/relationships/ctrlProp" Target="../ctrlProps/ctrlProp1152.xml"/><Relationship Id="rId1361" Type="http://schemas.openxmlformats.org/officeDocument/2006/relationships/table" Target="../tables/table170.xml"/><Relationship Id="rId98" Type="http://schemas.openxmlformats.org/officeDocument/2006/relationships/ctrlProp" Target="../ctrlProps/ctrlProp96.xml"/><Relationship Id="rId829" Type="http://schemas.openxmlformats.org/officeDocument/2006/relationships/ctrlProp" Target="../ctrlProps/ctrlProp827.xml"/><Relationship Id="rId1014" Type="http://schemas.openxmlformats.org/officeDocument/2006/relationships/ctrlProp" Target="../ctrlProps/ctrlProp1012.xml"/><Relationship Id="rId1221" Type="http://schemas.openxmlformats.org/officeDocument/2006/relationships/table" Target="../tables/table30.xml"/><Relationship Id="rId1319" Type="http://schemas.openxmlformats.org/officeDocument/2006/relationships/table" Target="../tables/table128.xml"/><Relationship Id="rId25" Type="http://schemas.openxmlformats.org/officeDocument/2006/relationships/ctrlProp" Target="../ctrlProps/ctrlProp23.xml"/><Relationship Id="rId174" Type="http://schemas.openxmlformats.org/officeDocument/2006/relationships/ctrlProp" Target="../ctrlProps/ctrlProp172.xml"/><Relationship Id="rId381" Type="http://schemas.openxmlformats.org/officeDocument/2006/relationships/ctrlProp" Target="../ctrlProps/ctrlProp379.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176" Type="http://schemas.openxmlformats.org/officeDocument/2006/relationships/ctrlProp" Target="../ctrlProps/ctrlProp1174.xml"/><Relationship Id="rId101" Type="http://schemas.openxmlformats.org/officeDocument/2006/relationships/ctrlProp" Target="../ctrlProps/ctrlProp99.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 Id="rId1243" Type="http://schemas.openxmlformats.org/officeDocument/2006/relationships/table" Target="../tables/table52.xml"/><Relationship Id="rId613" Type="http://schemas.openxmlformats.org/officeDocument/2006/relationships/ctrlProp" Target="../ctrlProps/ctrlProp611.xml"/><Relationship Id="rId820" Type="http://schemas.openxmlformats.org/officeDocument/2006/relationships/ctrlProp" Target="../ctrlProps/ctrlProp818.xml"/><Relationship Id="rId918" Type="http://schemas.openxmlformats.org/officeDocument/2006/relationships/ctrlProp" Target="../ctrlProps/ctrlProp916.xml"/><Relationship Id="rId1103" Type="http://schemas.openxmlformats.org/officeDocument/2006/relationships/ctrlProp" Target="../ctrlProps/ctrlProp1101.xml"/><Relationship Id="rId1310" Type="http://schemas.openxmlformats.org/officeDocument/2006/relationships/table" Target="../tables/table119.xml"/><Relationship Id="rId47" Type="http://schemas.openxmlformats.org/officeDocument/2006/relationships/ctrlProp" Target="../ctrlProps/ctrlProp45.xml"/><Relationship Id="rId196" Type="http://schemas.openxmlformats.org/officeDocument/2006/relationships/ctrlProp" Target="../ctrlProps/ctrlProp194.xml"/><Relationship Id="rId263" Type="http://schemas.openxmlformats.org/officeDocument/2006/relationships/ctrlProp" Target="../ctrlProps/ctrlProp261.xml"/><Relationship Id="rId470" Type="http://schemas.openxmlformats.org/officeDocument/2006/relationships/ctrlProp" Target="../ctrlProps/ctrlProp468.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1198" Type="http://schemas.openxmlformats.org/officeDocument/2006/relationships/table" Target="../tables/table7.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ctrlProp" Target="../ctrlProps/ctrlProp1056.xml"/><Relationship Id="rId1265" Type="http://schemas.openxmlformats.org/officeDocument/2006/relationships/table" Target="../tables/table74.xml"/><Relationship Id="rId702" Type="http://schemas.openxmlformats.org/officeDocument/2006/relationships/ctrlProp" Target="../ctrlProps/ctrlProp700.xml"/><Relationship Id="rId1125" Type="http://schemas.openxmlformats.org/officeDocument/2006/relationships/ctrlProp" Target="../ctrlProps/ctrlProp1123.xml"/><Relationship Id="rId1332" Type="http://schemas.openxmlformats.org/officeDocument/2006/relationships/table" Target="../tables/table141.xml"/><Relationship Id="rId69" Type="http://schemas.openxmlformats.org/officeDocument/2006/relationships/ctrlProp" Target="../ctrlProps/ctrlProp67.xml"/><Relationship Id="rId285" Type="http://schemas.openxmlformats.org/officeDocument/2006/relationships/ctrlProp" Target="../ctrlProps/ctrlProp283.xml"/><Relationship Id="rId492" Type="http://schemas.openxmlformats.org/officeDocument/2006/relationships/ctrlProp" Target="../ctrlProps/ctrlProp490.xml"/><Relationship Id="rId797" Type="http://schemas.openxmlformats.org/officeDocument/2006/relationships/ctrlProp" Target="../ctrlProps/ctrlProp795.xml"/><Relationship Id="rId145" Type="http://schemas.openxmlformats.org/officeDocument/2006/relationships/ctrlProp" Target="../ctrlProps/ctrlProp143.xml"/><Relationship Id="rId352" Type="http://schemas.openxmlformats.org/officeDocument/2006/relationships/ctrlProp" Target="../ctrlProps/ctrlProp350.xml"/><Relationship Id="rId1287" Type="http://schemas.openxmlformats.org/officeDocument/2006/relationships/table" Target="../tables/table96.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1147" Type="http://schemas.openxmlformats.org/officeDocument/2006/relationships/ctrlProp" Target="../ctrlProps/ctrlProp1145.xml"/><Relationship Id="rId1354" Type="http://schemas.openxmlformats.org/officeDocument/2006/relationships/table" Target="../tables/table163.xml"/><Relationship Id="rId60" Type="http://schemas.openxmlformats.org/officeDocument/2006/relationships/ctrlProp" Target="../ctrlProps/ctrlProp58.xml"/><Relationship Id="rId1007" Type="http://schemas.openxmlformats.org/officeDocument/2006/relationships/ctrlProp" Target="../ctrlProps/ctrlProp1005.xml"/><Relationship Id="rId1214" Type="http://schemas.openxmlformats.org/officeDocument/2006/relationships/table" Target="../tables/table23.xml"/><Relationship Id="rId18" Type="http://schemas.openxmlformats.org/officeDocument/2006/relationships/ctrlProp" Target="../ctrlProps/ctrlProp16.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234" Type="http://schemas.openxmlformats.org/officeDocument/2006/relationships/ctrlProp" Target="../ctrlProps/ctrlProp232.xml"/><Relationship Id="rId679" Type="http://schemas.openxmlformats.org/officeDocument/2006/relationships/ctrlProp" Target="../ctrlProps/ctrlProp677.xml"/><Relationship Id="rId886" Type="http://schemas.openxmlformats.org/officeDocument/2006/relationships/ctrlProp" Target="../ctrlProps/ctrlProp884.xml"/><Relationship Id="rId2" Type="http://schemas.openxmlformats.org/officeDocument/2006/relationships/vmlDrawing" Target="../drawings/vmlDrawing1.v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ctrlProp" Target="../ctrlProps/ctrlProp1069.xml"/><Relationship Id="rId1169" Type="http://schemas.openxmlformats.org/officeDocument/2006/relationships/ctrlProp" Target="../ctrlProps/ctrlProp1167.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ctrlProp" Target="../ctrlProps/ctrlProp1027.xml"/><Relationship Id="rId1236" Type="http://schemas.openxmlformats.org/officeDocument/2006/relationships/table" Target="../tables/table45.xml"/><Relationship Id="rId82" Type="http://schemas.openxmlformats.org/officeDocument/2006/relationships/ctrlProp" Target="../ctrlProps/ctrlProp80.xml"/><Relationship Id="rId606" Type="http://schemas.openxmlformats.org/officeDocument/2006/relationships/ctrlProp" Target="../ctrlProps/ctrlProp604.xml"/><Relationship Id="rId813" Type="http://schemas.openxmlformats.org/officeDocument/2006/relationships/ctrlProp" Target="../ctrlProps/ctrlProp811.xml"/><Relationship Id="rId1303" Type="http://schemas.openxmlformats.org/officeDocument/2006/relationships/table" Target="../tables/table112.xml"/><Relationship Id="rId189" Type="http://schemas.openxmlformats.org/officeDocument/2006/relationships/ctrlProp" Target="../ctrlProps/ctrlProp187.xml"/><Relationship Id="rId396" Type="http://schemas.openxmlformats.org/officeDocument/2006/relationships/ctrlProp" Target="../ctrlProps/ctrlProp394.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ctrlProp" Target="../ctrlProps/ctrlProp1091.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1160" Type="http://schemas.openxmlformats.org/officeDocument/2006/relationships/ctrlProp" Target="../ctrlProps/ctrlProp1158.xml"/><Relationship Id="rId628" Type="http://schemas.openxmlformats.org/officeDocument/2006/relationships/ctrlProp" Target="../ctrlProps/ctrlProp626.xml"/><Relationship Id="rId835" Type="http://schemas.openxmlformats.org/officeDocument/2006/relationships/ctrlProp" Target="../ctrlProps/ctrlProp833.xml"/><Relationship Id="rId1258" Type="http://schemas.openxmlformats.org/officeDocument/2006/relationships/table" Target="../tables/table67.xml"/><Relationship Id="rId1020" Type="http://schemas.openxmlformats.org/officeDocument/2006/relationships/ctrlProp" Target="../ctrlProps/ctrlProp1018.xml"/><Relationship Id="rId1118" Type="http://schemas.openxmlformats.org/officeDocument/2006/relationships/ctrlProp" Target="../ctrlProps/ctrlProp1116.xml"/><Relationship Id="rId1325" Type="http://schemas.openxmlformats.org/officeDocument/2006/relationships/table" Target="../tables/table134.xml"/><Relationship Id="rId902" Type="http://schemas.openxmlformats.org/officeDocument/2006/relationships/ctrlProp" Target="../ctrlProps/ctrlProp900.xml"/><Relationship Id="rId31" Type="http://schemas.openxmlformats.org/officeDocument/2006/relationships/ctrlProp" Target="../ctrlProps/ctrlProp29.xml"/><Relationship Id="rId180" Type="http://schemas.openxmlformats.org/officeDocument/2006/relationships/ctrlProp" Target="../ctrlProps/ctrlProp178.xml"/><Relationship Id="rId278" Type="http://schemas.openxmlformats.org/officeDocument/2006/relationships/ctrlProp" Target="../ctrlProps/ctrlProp276.xml"/><Relationship Id="rId485" Type="http://schemas.openxmlformats.org/officeDocument/2006/relationships/ctrlProp" Target="../ctrlProps/ctrlProp483.xml"/><Relationship Id="rId692" Type="http://schemas.openxmlformats.org/officeDocument/2006/relationships/ctrlProp" Target="../ctrlProps/ctrlProp69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ctrlProp" Target="../ctrlProps/ctrlProp995.xml"/><Relationship Id="rId1182" Type="http://schemas.openxmlformats.org/officeDocument/2006/relationships/ctrlProp" Target="../ctrlProps/ctrlProp1180.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ctrlProp" Target="../ctrlProps/ctrlProp1040.xml"/><Relationship Id="rId717" Type="http://schemas.openxmlformats.org/officeDocument/2006/relationships/ctrlProp" Target="../ctrlProps/ctrlProp715.xml"/><Relationship Id="rId924" Type="http://schemas.openxmlformats.org/officeDocument/2006/relationships/ctrlProp" Target="../ctrlProps/ctrlProp922.xml"/><Relationship Id="rId1347" Type="http://schemas.openxmlformats.org/officeDocument/2006/relationships/table" Target="../tables/table156.xml"/><Relationship Id="rId53" Type="http://schemas.openxmlformats.org/officeDocument/2006/relationships/ctrlProp" Target="../ctrlProps/ctrlProp51.xml"/><Relationship Id="rId1207" Type="http://schemas.openxmlformats.org/officeDocument/2006/relationships/table" Target="../tables/table16.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ctrlProp" Target="../ctrlProps/ctrlProp1062.xml"/><Relationship Id="rId1271" Type="http://schemas.openxmlformats.org/officeDocument/2006/relationships/table" Target="../tables/table80.xml"/><Relationship Id="rId1369" Type="http://schemas.openxmlformats.org/officeDocument/2006/relationships/table" Target="../tables/table178.xml"/><Relationship Id="rId501" Type="http://schemas.openxmlformats.org/officeDocument/2006/relationships/ctrlProp" Target="../ctrlProps/ctrlProp499.xml"/><Relationship Id="rId946" Type="http://schemas.openxmlformats.org/officeDocument/2006/relationships/ctrlProp" Target="../ctrlProps/ctrlProp944.xml"/><Relationship Id="rId1131" Type="http://schemas.openxmlformats.org/officeDocument/2006/relationships/ctrlProp" Target="../ctrlProps/ctrlProp1129.xml"/><Relationship Id="rId1229" Type="http://schemas.openxmlformats.org/officeDocument/2006/relationships/table" Target="../tables/table38.xml"/><Relationship Id="rId75" Type="http://schemas.openxmlformats.org/officeDocument/2006/relationships/ctrlProp" Target="../ctrlProps/ctrlProp73.xml"/><Relationship Id="rId806" Type="http://schemas.openxmlformats.org/officeDocument/2006/relationships/ctrlProp" Target="../ctrlProps/ctrlProp804.xml"/><Relationship Id="rId291" Type="http://schemas.openxmlformats.org/officeDocument/2006/relationships/ctrlProp" Target="../ctrlProps/ctrlProp289.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ctrlProp" Target="../ctrlProps/ctrlProp1084.xml"/><Relationship Id="rId1293" Type="http://schemas.openxmlformats.org/officeDocument/2006/relationships/table" Target="../tables/table102.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1153" Type="http://schemas.openxmlformats.org/officeDocument/2006/relationships/ctrlProp" Target="../ctrlProps/ctrlProp1151.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ctrlProp" Target="../ctrlProps/ctrlProp1011.xml"/><Relationship Id="rId1360" Type="http://schemas.openxmlformats.org/officeDocument/2006/relationships/table" Target="../tables/table169.xml"/><Relationship Id="rId1220" Type="http://schemas.openxmlformats.org/officeDocument/2006/relationships/table" Target="../tables/table29.xml"/><Relationship Id="rId1318" Type="http://schemas.openxmlformats.org/officeDocument/2006/relationships/table" Target="../tables/table127.xml"/><Relationship Id="rId24" Type="http://schemas.openxmlformats.org/officeDocument/2006/relationships/ctrlProp" Target="../ctrlProps/ctrlProp22.xml"/><Relationship Id="rId173" Type="http://schemas.openxmlformats.org/officeDocument/2006/relationships/ctrlProp" Target="../ctrlProps/ctrlProp171.xml"/><Relationship Id="rId380" Type="http://schemas.openxmlformats.org/officeDocument/2006/relationships/ctrlProp" Target="../ctrlProps/ctrlProp378.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175" Type="http://schemas.openxmlformats.org/officeDocument/2006/relationships/ctrlProp" Target="../ctrlProps/ctrlProp117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663"/>
  <sheetViews>
    <sheetView tabSelected="1" topLeftCell="A10" workbookViewId="0">
      <selection activeCell="K8" sqref="K8"/>
    </sheetView>
  </sheetViews>
  <sheetFormatPr baseColWidth="10" defaultRowHeight="15" x14ac:dyDescent="0.25"/>
  <cols>
    <col min="1" max="1" width="15.7109375" customWidth="1"/>
    <col min="2" max="2" width="18.5703125" customWidth="1"/>
    <col min="3" max="3" width="16.85546875" customWidth="1"/>
    <col min="4" max="4" width="32.42578125" customWidth="1"/>
    <col min="5" max="5" width="21" customWidth="1"/>
    <col min="6" max="6" width="19.140625" customWidth="1"/>
    <col min="7" max="7" width="11.5703125" customWidth="1"/>
  </cols>
  <sheetData>
    <row r="1" spans="1:7" ht="18.75" thickTop="1" x14ac:dyDescent="0.25">
      <c r="A1" s="1"/>
      <c r="B1" s="2"/>
      <c r="C1" s="3"/>
      <c r="D1" s="3"/>
      <c r="E1" s="4"/>
      <c r="F1" s="2"/>
      <c r="G1" s="2"/>
    </row>
    <row r="2" spans="1:7" ht="18" x14ac:dyDescent="0.25">
      <c r="A2" s="1"/>
      <c r="B2" s="5" t="s">
        <v>0</v>
      </c>
      <c r="C2" s="5"/>
      <c r="D2" s="5"/>
      <c r="E2" s="5"/>
      <c r="F2" s="6"/>
      <c r="G2" s="2"/>
    </row>
    <row r="3" spans="1:7" ht="18" x14ac:dyDescent="0.25">
      <c r="A3" s="1"/>
      <c r="B3" s="7" t="str">
        <f>"AÑO "&amp;E11</f>
        <v>AÑO 2023</v>
      </c>
      <c r="C3" s="7"/>
      <c r="D3" s="7"/>
      <c r="E3" s="7"/>
      <c r="F3" s="8"/>
      <c r="G3" s="2"/>
    </row>
    <row r="4" spans="1:7" ht="18" x14ac:dyDescent="0.25">
      <c r="A4" s="1"/>
      <c r="B4" s="2"/>
      <c r="C4" s="2"/>
      <c r="D4" s="2"/>
      <c r="E4" s="9"/>
      <c r="F4" s="2"/>
      <c r="G4" s="2"/>
    </row>
    <row r="5" spans="1:7" ht="21" thickBot="1" x14ac:dyDescent="0.3">
      <c r="A5" s="10"/>
      <c r="B5" s="10"/>
      <c r="C5" s="11"/>
      <c r="D5" s="11"/>
      <c r="E5" s="11"/>
      <c r="F5" s="11"/>
      <c r="G5" s="12"/>
    </row>
    <row r="6" spans="1:7" ht="15.75" thickBot="1" x14ac:dyDescent="0.3">
      <c r="A6" s="13" t="s">
        <v>1</v>
      </c>
      <c r="B6" s="14"/>
      <c r="C6" s="15"/>
      <c r="D6" s="16" t="s">
        <v>2</v>
      </c>
      <c r="E6" s="17" t="s">
        <v>3</v>
      </c>
      <c r="F6" s="18"/>
      <c r="G6" s="19"/>
    </row>
    <row r="7" spans="1:7" ht="15.75" thickBot="1" x14ac:dyDescent="0.3">
      <c r="A7" s="20" t="s">
        <v>4</v>
      </c>
      <c r="B7" s="14"/>
      <c r="C7" s="14"/>
      <c r="D7" s="16" t="s">
        <v>5</v>
      </c>
      <c r="E7" s="17" t="s">
        <v>6</v>
      </c>
      <c r="F7" s="18"/>
      <c r="G7" s="19"/>
    </row>
    <row r="8" spans="1:7" ht="27.75" thickBot="1" x14ac:dyDescent="0.3">
      <c r="A8" s="14"/>
      <c r="B8" s="14"/>
      <c r="C8" s="14"/>
      <c r="D8" s="16" t="s">
        <v>7</v>
      </c>
      <c r="E8" s="17" t="s">
        <v>8</v>
      </c>
      <c r="F8" s="18"/>
      <c r="G8" s="19"/>
    </row>
    <row r="9" spans="1:7" ht="27.75" thickBot="1" x14ac:dyDescent="0.3">
      <c r="A9" s="21" t="s">
        <v>9</v>
      </c>
      <c r="B9" s="22">
        <f ca="1">COUNTIFS(TotalEstColumnName,"="&amp;TotalEstLabel,TotalEstColumnValue,"&gt;0")</f>
        <v>182</v>
      </c>
      <c r="C9" s="14"/>
      <c r="D9" s="16" t="s">
        <v>10</v>
      </c>
      <c r="E9" s="17" t="s">
        <v>11</v>
      </c>
      <c r="F9" s="18"/>
      <c r="G9" s="19"/>
    </row>
    <row r="10" spans="1:7" ht="41.25" thickBot="1" x14ac:dyDescent="0.3">
      <c r="A10" s="23" t="s">
        <v>12</v>
      </c>
      <c r="B10" s="24">
        <f ca="1">SUMIF(TotalEstColumnName,"="&amp;TotalEstLabel,TotalEstColumnValue)</f>
        <v>56392546.599600002</v>
      </c>
      <c r="C10" s="14"/>
      <c r="D10" s="16" t="s">
        <v>13</v>
      </c>
      <c r="E10" s="17" t="s">
        <v>14</v>
      </c>
      <c r="F10" s="18"/>
      <c r="G10" s="19"/>
    </row>
    <row r="11" spans="1:7" ht="15.75" thickBot="1" x14ac:dyDescent="0.3">
      <c r="A11" s="12"/>
      <c r="B11" s="12"/>
      <c r="C11" s="14"/>
      <c r="D11" s="16" t="s">
        <v>15</v>
      </c>
      <c r="E11" s="25">
        <v>2023</v>
      </c>
      <c r="F11" s="26"/>
      <c r="G11" s="19"/>
    </row>
    <row r="12" spans="1:7" ht="27.75" thickBot="1" x14ac:dyDescent="0.3">
      <c r="A12" s="27"/>
      <c r="B12" s="27"/>
      <c r="C12" s="27"/>
      <c r="D12" s="16" t="s">
        <v>16</v>
      </c>
      <c r="E12" s="28" t="s">
        <v>17</v>
      </c>
      <c r="F12" s="29"/>
      <c r="G12" s="19"/>
    </row>
    <row r="13" spans="1:7" ht="16.5" x14ac:dyDescent="0.25">
      <c r="A13" s="30"/>
      <c r="B13" s="30"/>
      <c r="C13" s="30"/>
      <c r="D13" s="30"/>
      <c r="E13" s="30"/>
      <c r="F13" s="30"/>
      <c r="G13" s="30"/>
    </row>
    <row r="14" spans="1:7" ht="17.25" thickBot="1" x14ac:dyDescent="0.3">
      <c r="A14" s="30"/>
      <c r="B14" s="30"/>
      <c r="C14" s="30"/>
      <c r="D14" s="30"/>
      <c r="E14" s="30"/>
      <c r="F14" s="30"/>
      <c r="G14" s="30"/>
    </row>
    <row r="15" spans="1:7" ht="34.5" thickBot="1" x14ac:dyDescent="0.3">
      <c r="A15" s="31" t="s">
        <v>18</v>
      </c>
      <c r="B15" s="31" t="s">
        <v>19</v>
      </c>
      <c r="C15" s="31" t="s">
        <v>20</v>
      </c>
      <c r="D15" s="31" t="s">
        <v>21</v>
      </c>
      <c r="E15" s="31" t="s">
        <v>22</v>
      </c>
      <c r="F15" s="31" t="s">
        <v>23</v>
      </c>
      <c r="G15" s="30"/>
    </row>
    <row r="16" spans="1:7" ht="17.25" thickBot="1" x14ac:dyDescent="0.3">
      <c r="A16" s="32" t="s">
        <v>24</v>
      </c>
      <c r="B16" s="32" t="s">
        <v>25</v>
      </c>
      <c r="C16" s="33" t="s">
        <v>26</v>
      </c>
      <c r="D16" s="33" t="s">
        <v>27</v>
      </c>
      <c r="E16" s="33" t="s">
        <v>17</v>
      </c>
      <c r="F16" s="33" t="s">
        <v>17</v>
      </c>
      <c r="G16" s="30"/>
    </row>
    <row r="17" spans="1:7" ht="17.25" thickBot="1" x14ac:dyDescent="0.3">
      <c r="A17" s="34" t="s">
        <v>28</v>
      </c>
      <c r="B17" s="35" t="s">
        <v>29</v>
      </c>
      <c r="C17" s="36">
        <v>44991</v>
      </c>
      <c r="D17" s="34" t="s">
        <v>30</v>
      </c>
      <c r="E17" s="37" t="s">
        <v>31</v>
      </c>
      <c r="F17" s="38" t="s">
        <v>32</v>
      </c>
      <c r="G17" s="30"/>
    </row>
    <row r="18" spans="1:7" ht="17.25" thickBot="1" x14ac:dyDescent="0.3">
      <c r="A18" s="39"/>
      <c r="B18" s="35" t="s">
        <v>33</v>
      </c>
      <c r="C18" s="40">
        <f>IF(C17="","",IF(AND(MONTH(C17)&gt;=1,MONTH(C17)&lt;=3),1,IF(AND(MONTH(C17)&gt;=4,MONTH(C17)&lt;=6),2,IF(AND(MONTH(C17)&gt;=7,MONTH(C17)&lt;=9),3,4))))</f>
        <v>1</v>
      </c>
      <c r="D18" s="39"/>
      <c r="E18" s="37" t="s">
        <v>34</v>
      </c>
      <c r="F18" s="38" t="s">
        <v>35</v>
      </c>
      <c r="G18" s="30"/>
    </row>
    <row r="19" spans="1:7" ht="17.25" thickBot="1" x14ac:dyDescent="0.3">
      <c r="A19" s="39"/>
      <c r="B19" s="35" t="s">
        <v>36</v>
      </c>
      <c r="C19" s="36">
        <v>45000</v>
      </c>
      <c r="D19" s="39"/>
      <c r="E19" s="37" t="s">
        <v>37</v>
      </c>
      <c r="F19" s="38" t="s">
        <v>35</v>
      </c>
      <c r="G19" s="30"/>
    </row>
    <row r="20" spans="1:7" ht="17.25" thickBot="1" x14ac:dyDescent="0.3">
      <c r="A20" s="39"/>
      <c r="B20" s="35" t="s">
        <v>33</v>
      </c>
      <c r="C20" s="40">
        <f>IF(C19="","",IF(AND(MONTH(C19)&gt;=1,MONTH(C19)&lt;=3),1,IF(AND(MONTH(C19)&gt;=4,MONTH(C19)&lt;=6),2,IF(AND(MONTH(C19)&gt;=7,MONTH(C19)&lt;=9),3,4))))</f>
        <v>1</v>
      </c>
      <c r="D20" s="39"/>
      <c r="E20" s="37" t="s">
        <v>38</v>
      </c>
      <c r="F20" s="38" t="s">
        <v>35</v>
      </c>
      <c r="G20" s="30"/>
    </row>
    <row r="21" spans="1:7" ht="17.25" thickBot="1" x14ac:dyDescent="0.3">
      <c r="A21" s="30"/>
      <c r="B21" s="30"/>
      <c r="C21" s="30"/>
      <c r="D21" s="30"/>
      <c r="E21" s="30"/>
      <c r="F21" s="30"/>
      <c r="G21" s="30"/>
    </row>
    <row r="22" spans="1:7" ht="17.25" thickBot="1" x14ac:dyDescent="0.3">
      <c r="A22" s="41" t="s">
        <v>39</v>
      </c>
      <c r="B22" s="41" t="s">
        <v>40</v>
      </c>
      <c r="C22" s="41" t="s">
        <v>41</v>
      </c>
      <c r="D22" s="41" t="s">
        <v>42</v>
      </c>
      <c r="E22" s="41" t="s">
        <v>43</v>
      </c>
      <c r="F22" s="41" t="s">
        <v>44</v>
      </c>
      <c r="G22" s="30"/>
    </row>
    <row r="23" spans="1:7" ht="22.5" x14ac:dyDescent="0.25">
      <c r="A23" s="42">
        <v>51102706</v>
      </c>
      <c r="B23" s="43" t="str">
        <f t="shared" ref="B23:B54" ca="1" si="0">IFERROR(INDEX(UNSPSCDes,MATCH(INDIRECT(ADDRESS(ROW(),COLUMN()-1,4)),UNSPSCCode,0)),"")</f>
        <v>Ácido acético  antiséptico</v>
      </c>
      <c r="C23" s="44" t="s">
        <v>45</v>
      </c>
      <c r="D23" s="42">
        <v>2</v>
      </c>
      <c r="E23" s="45">
        <v>900</v>
      </c>
      <c r="F23" s="46">
        <f t="shared" ref="F23:F86" ca="1" si="1">INDIRECT(ADDRESS(ROW(),COLUMN()-2,4))*INDIRECT(ADDRESS(ROW(),COLUMN()-1,4))</f>
        <v>1800</v>
      </c>
      <c r="G23" s="30"/>
    </row>
    <row r="24" spans="1:7" ht="22.5" x14ac:dyDescent="0.25">
      <c r="A24" s="42">
        <v>47131812</v>
      </c>
      <c r="B24" s="43" t="str">
        <f t="shared" ca="1" si="0"/>
        <v>Refrescador de aire</v>
      </c>
      <c r="C24" s="44" t="s">
        <v>45</v>
      </c>
      <c r="D24" s="42">
        <v>6</v>
      </c>
      <c r="E24" s="45">
        <v>101</v>
      </c>
      <c r="F24" s="46">
        <f t="shared" ca="1" si="1"/>
        <v>606</v>
      </c>
      <c r="G24" s="30"/>
    </row>
    <row r="25" spans="1:7" ht="22.5" x14ac:dyDescent="0.25">
      <c r="A25" s="42">
        <v>47131812</v>
      </c>
      <c r="B25" s="43" t="str">
        <f t="shared" ca="1" si="0"/>
        <v>Refrescador de aire</v>
      </c>
      <c r="C25" s="44" t="s">
        <v>45</v>
      </c>
      <c r="D25" s="42">
        <v>45</v>
      </c>
      <c r="E25" s="45">
        <v>672</v>
      </c>
      <c r="F25" s="46">
        <f t="shared" ca="1" si="1"/>
        <v>30240</v>
      </c>
      <c r="G25" s="30"/>
    </row>
    <row r="26" spans="1:7" ht="22.5" x14ac:dyDescent="0.25">
      <c r="A26" s="42">
        <v>24112208</v>
      </c>
      <c r="B26" s="43" t="str">
        <f t="shared" ca="1" si="0"/>
        <v>Conjunto pulverizador</v>
      </c>
      <c r="C26" s="44" t="s">
        <v>46</v>
      </c>
      <c r="D26" s="42">
        <v>10</v>
      </c>
      <c r="E26" s="45">
        <v>100</v>
      </c>
      <c r="F26" s="46">
        <f t="shared" ca="1" si="1"/>
        <v>1000</v>
      </c>
      <c r="G26" s="30"/>
    </row>
    <row r="27" spans="1:7" ht="16.5" x14ac:dyDescent="0.25">
      <c r="A27" s="42">
        <v>44122101</v>
      </c>
      <c r="B27" s="43" t="str">
        <f t="shared" ca="1" si="0"/>
        <v>Cauchos</v>
      </c>
      <c r="C27" s="44" t="s">
        <v>45</v>
      </c>
      <c r="D27" s="42">
        <v>6</v>
      </c>
      <c r="E27" s="45">
        <v>80</v>
      </c>
      <c r="F27" s="46">
        <f t="shared" ca="1" si="1"/>
        <v>480</v>
      </c>
      <c r="G27" s="30"/>
    </row>
    <row r="28" spans="1:7" ht="16.5" x14ac:dyDescent="0.25">
      <c r="A28" s="42">
        <v>44122101</v>
      </c>
      <c r="B28" s="43" t="str">
        <f t="shared" ca="1" si="0"/>
        <v>Cauchos</v>
      </c>
      <c r="C28" s="44" t="s">
        <v>45</v>
      </c>
      <c r="D28" s="42">
        <v>58</v>
      </c>
      <c r="E28" s="45">
        <v>26</v>
      </c>
      <c r="F28" s="46">
        <f t="shared" ca="1" si="1"/>
        <v>1508</v>
      </c>
      <c r="G28" s="30"/>
    </row>
    <row r="29" spans="1:7" ht="45" x14ac:dyDescent="0.25">
      <c r="A29" s="42">
        <v>44111503</v>
      </c>
      <c r="B29" s="43" t="str">
        <f t="shared" ca="1" si="0"/>
        <v>Organizadores o bandejas para el escritorio</v>
      </c>
      <c r="C29" s="44" t="s">
        <v>46</v>
      </c>
      <c r="D29" s="42">
        <v>12</v>
      </c>
      <c r="E29" s="45">
        <v>177</v>
      </c>
      <c r="F29" s="46">
        <f t="shared" ca="1" si="1"/>
        <v>2124</v>
      </c>
      <c r="G29" s="30"/>
    </row>
    <row r="30" spans="1:7" ht="16.5" x14ac:dyDescent="0.25">
      <c r="A30" s="42">
        <v>44121701</v>
      </c>
      <c r="B30" s="43" t="str">
        <f t="shared" ca="1" si="0"/>
        <v>Bolígrafos</v>
      </c>
      <c r="C30" s="44" t="s">
        <v>45</v>
      </c>
      <c r="D30" s="42">
        <v>100</v>
      </c>
      <c r="E30" s="45">
        <v>62</v>
      </c>
      <c r="F30" s="46">
        <f t="shared" ca="1" si="1"/>
        <v>6200</v>
      </c>
      <c r="G30" s="30"/>
    </row>
    <row r="31" spans="1:7" ht="16.5" x14ac:dyDescent="0.25">
      <c r="A31" s="42">
        <v>44122003</v>
      </c>
      <c r="B31" s="43" t="str">
        <f t="shared" ca="1" si="0"/>
        <v>Carpetas</v>
      </c>
      <c r="C31" s="44" t="s">
        <v>46</v>
      </c>
      <c r="D31" s="42">
        <v>25</v>
      </c>
      <c r="E31" s="45">
        <v>200</v>
      </c>
      <c r="F31" s="46">
        <f t="shared" ca="1" si="1"/>
        <v>5000</v>
      </c>
      <c r="G31" s="30"/>
    </row>
    <row r="32" spans="1:7" ht="16.5" x14ac:dyDescent="0.25">
      <c r="A32" s="42">
        <v>44122003</v>
      </c>
      <c r="B32" s="43" t="str">
        <f t="shared" ca="1" si="0"/>
        <v>Carpetas</v>
      </c>
      <c r="C32" s="44" t="s">
        <v>46</v>
      </c>
      <c r="D32" s="42">
        <v>15</v>
      </c>
      <c r="E32" s="45">
        <v>250</v>
      </c>
      <c r="F32" s="46">
        <f t="shared" ca="1" si="1"/>
        <v>3750</v>
      </c>
      <c r="G32" s="30"/>
    </row>
    <row r="33" spans="1:7" ht="22.5" x14ac:dyDescent="0.25">
      <c r="A33" s="42">
        <v>43202001</v>
      </c>
      <c r="B33" s="43" t="str">
        <f t="shared" ca="1" si="0"/>
        <v>Discos compactos cd</v>
      </c>
      <c r="C33" s="44" t="s">
        <v>46</v>
      </c>
      <c r="D33" s="42">
        <v>7</v>
      </c>
      <c r="E33" s="45">
        <v>25</v>
      </c>
      <c r="F33" s="46">
        <f t="shared" ca="1" si="1"/>
        <v>175</v>
      </c>
      <c r="G33" s="30"/>
    </row>
    <row r="34" spans="1:7" ht="22.5" x14ac:dyDescent="0.25">
      <c r="A34" s="42">
        <v>12181501</v>
      </c>
      <c r="B34" s="43" t="str">
        <f t="shared" ca="1" si="0"/>
        <v>Ceras sintéticas</v>
      </c>
      <c r="C34" s="44" t="s">
        <v>46</v>
      </c>
      <c r="D34" s="42">
        <v>20</v>
      </c>
      <c r="E34" s="45">
        <v>43</v>
      </c>
      <c r="F34" s="46">
        <f t="shared" ca="1" si="1"/>
        <v>860</v>
      </c>
      <c r="G34" s="30"/>
    </row>
    <row r="35" spans="1:7" ht="16.5" x14ac:dyDescent="0.25">
      <c r="A35" s="42">
        <v>44122101</v>
      </c>
      <c r="B35" s="43" t="str">
        <f t="shared" ca="1" si="0"/>
        <v>Cauchos</v>
      </c>
      <c r="C35" s="44" t="s">
        <v>45</v>
      </c>
      <c r="D35" s="42">
        <v>12</v>
      </c>
      <c r="E35" s="45">
        <v>65</v>
      </c>
      <c r="F35" s="46">
        <f t="shared" ca="1" si="1"/>
        <v>780</v>
      </c>
      <c r="G35" s="30"/>
    </row>
    <row r="36" spans="1:7" ht="22.5" x14ac:dyDescent="0.25">
      <c r="A36" s="42">
        <v>15121801</v>
      </c>
      <c r="B36" s="43" t="str">
        <f t="shared" ca="1" si="0"/>
        <v>Repelente de humedad</v>
      </c>
      <c r="C36" s="44" t="s">
        <v>46</v>
      </c>
      <c r="D36" s="42">
        <v>9</v>
      </c>
      <c r="E36" s="45">
        <v>272</v>
      </c>
      <c r="F36" s="46">
        <f t="shared" ca="1" si="1"/>
        <v>2448</v>
      </c>
      <c r="G36" s="30"/>
    </row>
    <row r="37" spans="1:7" ht="22.5" x14ac:dyDescent="0.25">
      <c r="A37" s="42">
        <v>31191507</v>
      </c>
      <c r="B37" s="43" t="str">
        <f t="shared" ca="1" si="0"/>
        <v>Cintas abrasivas</v>
      </c>
      <c r="C37" s="44" t="s">
        <v>46</v>
      </c>
      <c r="D37" s="42">
        <v>128</v>
      </c>
      <c r="E37" s="45">
        <v>70</v>
      </c>
      <c r="F37" s="46">
        <f t="shared" ca="1" si="1"/>
        <v>8960</v>
      </c>
      <c r="G37" s="30"/>
    </row>
    <row r="38" spans="1:7" ht="22.5" x14ac:dyDescent="0.25">
      <c r="A38" s="42">
        <v>31201503</v>
      </c>
      <c r="B38" s="43" t="str">
        <f t="shared" ca="1" si="0"/>
        <v>Cinta de enmascarar</v>
      </c>
      <c r="C38" s="44" t="s">
        <v>46</v>
      </c>
      <c r="D38" s="42">
        <v>72</v>
      </c>
      <c r="E38" s="45">
        <v>65</v>
      </c>
      <c r="F38" s="46">
        <f t="shared" ca="1" si="1"/>
        <v>4680</v>
      </c>
      <c r="G38" s="30"/>
    </row>
    <row r="39" spans="1:7" ht="16.5" x14ac:dyDescent="0.25">
      <c r="A39" s="42">
        <v>31201505</v>
      </c>
      <c r="B39" s="43" t="str">
        <f t="shared" ca="1" si="0"/>
        <v>Cinta doble faz</v>
      </c>
      <c r="C39" s="44" t="s">
        <v>46</v>
      </c>
      <c r="D39" s="42">
        <v>6</v>
      </c>
      <c r="E39" s="45">
        <v>233</v>
      </c>
      <c r="F39" s="46">
        <f t="shared" ca="1" si="1"/>
        <v>1398</v>
      </c>
      <c r="G39" s="30"/>
    </row>
    <row r="40" spans="1:7" ht="22.5" x14ac:dyDescent="0.25">
      <c r="A40" s="42">
        <v>44101805</v>
      </c>
      <c r="B40" s="43" t="str">
        <f t="shared" ca="1" si="0"/>
        <v>Cintas para calculadoras</v>
      </c>
      <c r="C40" s="44" t="s">
        <v>46</v>
      </c>
      <c r="D40" s="42">
        <v>3</v>
      </c>
      <c r="E40" s="45">
        <v>50</v>
      </c>
      <c r="F40" s="46">
        <f t="shared" ca="1" si="1"/>
        <v>150</v>
      </c>
      <c r="G40" s="30"/>
    </row>
    <row r="41" spans="1:7" ht="16.5" x14ac:dyDescent="0.25">
      <c r="A41" s="42">
        <v>31201523</v>
      </c>
      <c r="B41" s="43" t="str">
        <f t="shared" ca="1" si="0"/>
        <v>Cinta de tela</v>
      </c>
      <c r="C41" s="44" t="s">
        <v>46</v>
      </c>
      <c r="D41" s="42">
        <v>60</v>
      </c>
      <c r="E41" s="45">
        <v>60</v>
      </c>
      <c r="F41" s="46">
        <f t="shared" ca="1" si="1"/>
        <v>3600</v>
      </c>
      <c r="G41" s="30"/>
    </row>
    <row r="42" spans="1:7" ht="22.5" x14ac:dyDescent="0.25">
      <c r="A42" s="42">
        <v>44122104</v>
      </c>
      <c r="B42" s="43" t="str">
        <f t="shared" ca="1" si="0"/>
        <v>Clips para papel</v>
      </c>
      <c r="C42" s="44" t="s">
        <v>45</v>
      </c>
      <c r="D42" s="42">
        <v>6</v>
      </c>
      <c r="E42" s="45">
        <v>165</v>
      </c>
      <c r="F42" s="46">
        <f t="shared" ca="1" si="1"/>
        <v>990</v>
      </c>
      <c r="G42" s="30"/>
    </row>
    <row r="43" spans="1:7" ht="22.5" x14ac:dyDescent="0.25">
      <c r="A43" s="42">
        <v>44122104</v>
      </c>
      <c r="B43" s="43" t="str">
        <f t="shared" ca="1" si="0"/>
        <v>Clips para papel</v>
      </c>
      <c r="C43" s="44" t="s">
        <v>45</v>
      </c>
      <c r="D43" s="42">
        <v>2</v>
      </c>
      <c r="E43" s="45">
        <v>160</v>
      </c>
      <c r="F43" s="46">
        <f t="shared" ca="1" si="1"/>
        <v>320</v>
      </c>
      <c r="G43" s="30"/>
    </row>
    <row r="44" spans="1:7" ht="22.5" x14ac:dyDescent="0.25">
      <c r="A44" s="42">
        <v>44122104</v>
      </c>
      <c r="B44" s="43" t="str">
        <f t="shared" ca="1" si="0"/>
        <v>Clips para papel</v>
      </c>
      <c r="C44" s="44" t="s">
        <v>45</v>
      </c>
      <c r="D44" s="42">
        <v>20</v>
      </c>
      <c r="E44" s="45">
        <v>350</v>
      </c>
      <c r="F44" s="46">
        <f t="shared" ca="1" si="1"/>
        <v>7000</v>
      </c>
      <c r="G44" s="30"/>
    </row>
    <row r="45" spans="1:7" ht="22.5" x14ac:dyDescent="0.25">
      <c r="A45" s="42">
        <v>44122104</v>
      </c>
      <c r="B45" s="43" t="str">
        <f t="shared" ca="1" si="0"/>
        <v>Clips para papel</v>
      </c>
      <c r="C45" s="44" t="s">
        <v>45</v>
      </c>
      <c r="D45" s="42">
        <v>20</v>
      </c>
      <c r="E45" s="45">
        <v>150</v>
      </c>
      <c r="F45" s="46">
        <f t="shared" ca="1" si="1"/>
        <v>3000</v>
      </c>
      <c r="G45" s="30"/>
    </row>
    <row r="46" spans="1:7" ht="22.5" x14ac:dyDescent="0.25">
      <c r="A46" s="42">
        <v>44122104</v>
      </c>
      <c r="B46" s="43" t="str">
        <f t="shared" ca="1" si="0"/>
        <v>Clips para papel</v>
      </c>
      <c r="C46" s="44" t="s">
        <v>45</v>
      </c>
      <c r="D46" s="42">
        <v>20</v>
      </c>
      <c r="E46" s="45">
        <v>275</v>
      </c>
      <c r="F46" s="46">
        <f t="shared" ca="1" si="1"/>
        <v>5500</v>
      </c>
      <c r="G46" s="30"/>
    </row>
    <row r="47" spans="1:7" ht="22.5" x14ac:dyDescent="0.25">
      <c r="A47" s="42">
        <v>44111611</v>
      </c>
      <c r="B47" s="43" t="str">
        <f t="shared" ca="1" si="0"/>
        <v>Clips para billetes</v>
      </c>
      <c r="C47" s="44" t="s">
        <v>45</v>
      </c>
      <c r="D47" s="42">
        <v>3</v>
      </c>
      <c r="E47" s="45">
        <v>430</v>
      </c>
      <c r="F47" s="46">
        <f t="shared" ca="1" si="1"/>
        <v>1290</v>
      </c>
      <c r="G47" s="30"/>
    </row>
    <row r="48" spans="1:7" ht="22.5" x14ac:dyDescent="0.25">
      <c r="A48" s="42">
        <v>44111611</v>
      </c>
      <c r="B48" s="43" t="str">
        <f t="shared" ca="1" si="0"/>
        <v>Clips para billetes</v>
      </c>
      <c r="C48" s="44" t="s">
        <v>45</v>
      </c>
      <c r="D48" s="42">
        <v>4</v>
      </c>
      <c r="E48" s="45">
        <v>650</v>
      </c>
      <c r="F48" s="46">
        <f t="shared" ca="1" si="1"/>
        <v>2600</v>
      </c>
      <c r="G48" s="30"/>
    </row>
    <row r="49" spans="1:7" ht="22.5" x14ac:dyDescent="0.25">
      <c r="A49" s="42">
        <v>44111611</v>
      </c>
      <c r="B49" s="43" t="str">
        <f t="shared" ca="1" si="0"/>
        <v>Clips para billetes</v>
      </c>
      <c r="C49" s="44" t="s">
        <v>45</v>
      </c>
      <c r="D49" s="42">
        <v>5</v>
      </c>
      <c r="E49" s="45">
        <v>1980</v>
      </c>
      <c r="F49" s="46">
        <f t="shared" ca="1" si="1"/>
        <v>9900</v>
      </c>
      <c r="G49" s="30"/>
    </row>
    <row r="50" spans="1:7" ht="22.5" x14ac:dyDescent="0.25">
      <c r="A50" s="42">
        <v>44121802</v>
      </c>
      <c r="B50" s="43" t="str">
        <f t="shared" ca="1" si="0"/>
        <v>Fluido de corrección</v>
      </c>
      <c r="C50" s="44" t="s">
        <v>45</v>
      </c>
      <c r="D50" s="42">
        <v>3</v>
      </c>
      <c r="E50" s="45">
        <v>360</v>
      </c>
      <c r="F50" s="46">
        <f t="shared" ca="1" si="1"/>
        <v>1080</v>
      </c>
      <c r="G50" s="30"/>
    </row>
    <row r="51" spans="1:7" ht="22.5" x14ac:dyDescent="0.25">
      <c r="A51" s="42">
        <v>44121605</v>
      </c>
      <c r="B51" s="43" t="str">
        <f t="shared" ca="1" si="0"/>
        <v>Dispensadores de cinta</v>
      </c>
      <c r="C51" s="44" t="s">
        <v>46</v>
      </c>
      <c r="D51" s="42">
        <v>8</v>
      </c>
      <c r="E51" s="45">
        <v>125</v>
      </c>
      <c r="F51" s="46">
        <f t="shared" ca="1" si="1"/>
        <v>1000</v>
      </c>
      <c r="G51" s="30"/>
    </row>
    <row r="52" spans="1:7" ht="45" x14ac:dyDescent="0.25">
      <c r="A52" s="42">
        <v>44103504</v>
      </c>
      <c r="B52" s="43" t="str">
        <f t="shared" ca="1" si="0"/>
        <v>Alambres o espirales de encuadernación</v>
      </c>
      <c r="C52" s="44" t="s">
        <v>45</v>
      </c>
      <c r="D52" s="42">
        <v>6</v>
      </c>
      <c r="E52" s="45">
        <v>550</v>
      </c>
      <c r="F52" s="46">
        <f t="shared" ca="1" si="1"/>
        <v>3300</v>
      </c>
      <c r="G52" s="30"/>
    </row>
    <row r="53" spans="1:7" ht="45" x14ac:dyDescent="0.25">
      <c r="A53" s="42">
        <v>44103504</v>
      </c>
      <c r="B53" s="43" t="str">
        <f t="shared" ca="1" si="0"/>
        <v>Alambres o espirales de encuadernación</v>
      </c>
      <c r="C53" s="44" t="s">
        <v>45</v>
      </c>
      <c r="D53" s="42">
        <v>6</v>
      </c>
      <c r="E53" s="45">
        <v>413</v>
      </c>
      <c r="F53" s="46">
        <f t="shared" ca="1" si="1"/>
        <v>2478</v>
      </c>
      <c r="G53" s="30"/>
    </row>
    <row r="54" spans="1:7" ht="22.5" x14ac:dyDescent="0.25">
      <c r="A54" s="42">
        <v>55121606</v>
      </c>
      <c r="B54" s="43" t="str">
        <f t="shared" ca="1" si="0"/>
        <v>Etiquetas auto adhesivas</v>
      </c>
      <c r="C54" s="44" t="s">
        <v>47</v>
      </c>
      <c r="D54" s="42">
        <v>5</v>
      </c>
      <c r="E54" s="45">
        <v>20</v>
      </c>
      <c r="F54" s="46">
        <f t="shared" ca="1" si="1"/>
        <v>100</v>
      </c>
      <c r="G54" s="30"/>
    </row>
    <row r="55" spans="1:7" ht="22.5" x14ac:dyDescent="0.25">
      <c r="A55" s="42">
        <v>44121707</v>
      </c>
      <c r="B55" s="43" t="str">
        <f t="shared" ref="B55:B85" ca="1" si="2">IFERROR(INDEX(UNSPSCDes,MATCH(INDIRECT(ADDRESS(ROW(),COLUMN()-1,4)),UNSPSCCode,0)),"")</f>
        <v>Lápices de colores</v>
      </c>
      <c r="C55" s="44" t="s">
        <v>45</v>
      </c>
      <c r="D55" s="42">
        <v>3</v>
      </c>
      <c r="E55" s="45">
        <v>300</v>
      </c>
      <c r="F55" s="46">
        <f t="shared" ca="1" si="1"/>
        <v>900</v>
      </c>
      <c r="G55" s="30"/>
    </row>
    <row r="56" spans="1:7" ht="22.5" x14ac:dyDescent="0.25">
      <c r="A56" s="42">
        <v>44121707</v>
      </c>
      <c r="B56" s="43" t="str">
        <f t="shared" ca="1" si="2"/>
        <v>Lápices de colores</v>
      </c>
      <c r="C56" s="44" t="s">
        <v>45</v>
      </c>
      <c r="D56" s="42">
        <v>3</v>
      </c>
      <c r="E56" s="45">
        <v>300</v>
      </c>
      <c r="F56" s="46">
        <f t="shared" ca="1" si="1"/>
        <v>900</v>
      </c>
      <c r="G56" s="30"/>
    </row>
    <row r="57" spans="1:7" ht="22.5" x14ac:dyDescent="0.25">
      <c r="A57" s="42">
        <v>44121707</v>
      </c>
      <c r="B57" s="43" t="str">
        <f t="shared" ca="1" si="2"/>
        <v>Lápices de colores</v>
      </c>
      <c r="C57" s="44" t="s">
        <v>45</v>
      </c>
      <c r="D57" s="42">
        <v>3</v>
      </c>
      <c r="E57" s="45">
        <v>300</v>
      </c>
      <c r="F57" s="46">
        <f t="shared" ca="1" si="1"/>
        <v>900</v>
      </c>
      <c r="G57" s="30"/>
    </row>
    <row r="58" spans="1:7" ht="33.75" x14ac:dyDescent="0.25">
      <c r="A58" s="42">
        <v>44122027</v>
      </c>
      <c r="B58" s="43" t="str">
        <f t="shared" ca="1" si="2"/>
        <v>Folders de archivo expandibles</v>
      </c>
      <c r="C58" s="44" t="s">
        <v>45</v>
      </c>
      <c r="D58" s="42">
        <v>2</v>
      </c>
      <c r="E58" s="45">
        <v>1218</v>
      </c>
      <c r="F58" s="46">
        <f t="shared" ca="1" si="1"/>
        <v>2436</v>
      </c>
      <c r="G58" s="30"/>
    </row>
    <row r="59" spans="1:7" ht="33.75" x14ac:dyDescent="0.25">
      <c r="A59" s="42">
        <v>44122027</v>
      </c>
      <c r="B59" s="43" t="str">
        <f t="shared" ca="1" si="2"/>
        <v>Folders de archivo expandibles</v>
      </c>
      <c r="C59" s="44" t="s">
        <v>45</v>
      </c>
      <c r="D59" s="42">
        <v>5</v>
      </c>
      <c r="E59" s="45">
        <v>1000</v>
      </c>
      <c r="F59" s="46">
        <f t="shared" ca="1" si="1"/>
        <v>5000</v>
      </c>
      <c r="G59" s="30"/>
    </row>
    <row r="60" spans="1:7" ht="33.75" x14ac:dyDescent="0.25">
      <c r="A60" s="42">
        <v>44122027</v>
      </c>
      <c r="B60" s="43" t="str">
        <f t="shared" ca="1" si="2"/>
        <v>Folders de archivo expandibles</v>
      </c>
      <c r="C60" s="44" t="s">
        <v>45</v>
      </c>
      <c r="D60" s="42">
        <v>2</v>
      </c>
      <c r="E60" s="45">
        <v>1000</v>
      </c>
      <c r="F60" s="46">
        <f t="shared" ca="1" si="1"/>
        <v>2000</v>
      </c>
      <c r="G60" s="30"/>
    </row>
    <row r="61" spans="1:7" ht="16.5" x14ac:dyDescent="0.25">
      <c r="A61" s="42">
        <v>44121503</v>
      </c>
      <c r="B61" s="43" t="str">
        <f t="shared" ca="1" si="2"/>
        <v>Sobres</v>
      </c>
      <c r="C61" s="44" t="s">
        <v>45</v>
      </c>
      <c r="D61" s="42">
        <v>65</v>
      </c>
      <c r="E61" s="45">
        <v>240</v>
      </c>
      <c r="F61" s="46">
        <f t="shared" ca="1" si="1"/>
        <v>15600</v>
      </c>
      <c r="G61" s="30"/>
    </row>
    <row r="62" spans="1:7" ht="16.5" x14ac:dyDescent="0.25">
      <c r="A62" s="42">
        <v>44121804</v>
      </c>
      <c r="B62" s="43" t="str">
        <f t="shared" ca="1" si="2"/>
        <v>Borradores</v>
      </c>
      <c r="C62" s="44" t="s">
        <v>45</v>
      </c>
      <c r="D62" s="42">
        <v>3</v>
      </c>
      <c r="E62" s="45">
        <v>300</v>
      </c>
      <c r="F62" s="46">
        <f t="shared" ca="1" si="1"/>
        <v>900</v>
      </c>
      <c r="G62" s="30"/>
    </row>
    <row r="63" spans="1:7" ht="16.5" x14ac:dyDescent="0.25">
      <c r="A63" s="42">
        <v>44121615</v>
      </c>
      <c r="B63" s="43" t="str">
        <f t="shared" ca="1" si="2"/>
        <v>Grapadoras</v>
      </c>
      <c r="C63" s="44" t="s">
        <v>46</v>
      </c>
      <c r="D63" s="42">
        <v>1</v>
      </c>
      <c r="E63" s="45">
        <v>1600</v>
      </c>
      <c r="F63" s="46">
        <f t="shared" ca="1" si="1"/>
        <v>1600</v>
      </c>
      <c r="G63" s="30"/>
    </row>
    <row r="64" spans="1:7" ht="16.5" x14ac:dyDescent="0.25">
      <c r="A64" s="42">
        <v>44121615</v>
      </c>
      <c r="B64" s="43" t="str">
        <f t="shared" ca="1" si="2"/>
        <v>Grapadoras</v>
      </c>
      <c r="C64" s="44" t="s">
        <v>46</v>
      </c>
      <c r="D64" s="42">
        <v>10</v>
      </c>
      <c r="E64" s="45">
        <v>270</v>
      </c>
      <c r="F64" s="46">
        <f t="shared" ca="1" si="1"/>
        <v>2700</v>
      </c>
      <c r="G64" s="30"/>
    </row>
    <row r="65" spans="1:7" ht="16.5" x14ac:dyDescent="0.25">
      <c r="A65" s="42">
        <v>44122107</v>
      </c>
      <c r="B65" s="43" t="str">
        <f t="shared" ca="1" si="2"/>
        <v>Grapas</v>
      </c>
      <c r="C65" s="44" t="s">
        <v>45</v>
      </c>
      <c r="D65" s="42">
        <v>2</v>
      </c>
      <c r="E65" s="45">
        <v>550</v>
      </c>
      <c r="F65" s="46">
        <f t="shared" ca="1" si="1"/>
        <v>1100</v>
      </c>
      <c r="G65" s="30"/>
    </row>
    <row r="66" spans="1:7" ht="22.5" x14ac:dyDescent="0.25">
      <c r="A66" s="42">
        <v>44121706</v>
      </c>
      <c r="B66" s="43" t="str">
        <f t="shared" ca="1" si="2"/>
        <v>Lápices de madera</v>
      </c>
      <c r="C66" s="44" t="s">
        <v>45</v>
      </c>
      <c r="D66" s="42">
        <v>72</v>
      </c>
      <c r="E66" s="45">
        <v>42</v>
      </c>
      <c r="F66" s="46">
        <f t="shared" ca="1" si="1"/>
        <v>3024</v>
      </c>
      <c r="G66" s="30"/>
    </row>
    <row r="67" spans="1:7" ht="33.75" x14ac:dyDescent="0.25">
      <c r="A67" s="42">
        <v>14111514</v>
      </c>
      <c r="B67" s="43" t="str">
        <f t="shared" ca="1" si="2"/>
        <v>Blocs o cuadernos de papel</v>
      </c>
      <c r="C67" s="44" t="s">
        <v>46</v>
      </c>
      <c r="D67" s="42">
        <v>144</v>
      </c>
      <c r="E67" s="45">
        <v>280</v>
      </c>
      <c r="F67" s="46">
        <f t="shared" ca="1" si="1"/>
        <v>40320</v>
      </c>
      <c r="G67" s="30"/>
    </row>
    <row r="68" spans="1:7" ht="33.75" x14ac:dyDescent="0.25">
      <c r="A68" s="42">
        <v>14111514</v>
      </c>
      <c r="B68" s="43" t="str">
        <f t="shared" ca="1" si="2"/>
        <v>Blocs o cuadernos de papel</v>
      </c>
      <c r="C68" s="44" t="s">
        <v>46</v>
      </c>
      <c r="D68" s="42">
        <v>144</v>
      </c>
      <c r="E68" s="45">
        <v>35</v>
      </c>
      <c r="F68" s="46">
        <f t="shared" ca="1" si="1"/>
        <v>5040</v>
      </c>
      <c r="G68" s="30"/>
    </row>
    <row r="69" spans="1:7" ht="33.75" x14ac:dyDescent="0.25">
      <c r="A69" s="42">
        <v>44112001</v>
      </c>
      <c r="B69" s="43" t="str">
        <f t="shared" ca="1" si="2"/>
        <v>Libretas de direcciones o repuestos</v>
      </c>
      <c r="C69" s="44" t="s">
        <v>46</v>
      </c>
      <c r="D69" s="42">
        <v>144</v>
      </c>
      <c r="E69" s="45">
        <v>280</v>
      </c>
      <c r="F69" s="46">
        <f t="shared" ca="1" si="1"/>
        <v>40320</v>
      </c>
      <c r="G69" s="30"/>
    </row>
    <row r="70" spans="1:7" ht="33.75" x14ac:dyDescent="0.25">
      <c r="A70" s="42">
        <v>14111514</v>
      </c>
      <c r="B70" s="43" t="str">
        <f t="shared" ca="1" si="2"/>
        <v>Blocs o cuadernos de papel</v>
      </c>
      <c r="C70" s="44" t="s">
        <v>46</v>
      </c>
      <c r="D70" s="42">
        <v>144</v>
      </c>
      <c r="E70" s="45">
        <v>35</v>
      </c>
      <c r="F70" s="46">
        <f t="shared" ca="1" si="1"/>
        <v>5040</v>
      </c>
      <c r="G70" s="30"/>
    </row>
    <row r="71" spans="1:7" ht="33.75" x14ac:dyDescent="0.25">
      <c r="A71" s="42">
        <v>14111514</v>
      </c>
      <c r="B71" s="43" t="str">
        <f t="shared" ca="1" si="2"/>
        <v>Blocs o cuadernos de papel</v>
      </c>
      <c r="C71" s="44" t="s">
        <v>46</v>
      </c>
      <c r="D71" s="42">
        <v>6</v>
      </c>
      <c r="E71" s="45">
        <v>190</v>
      </c>
      <c r="F71" s="46">
        <f t="shared" ca="1" si="1"/>
        <v>1140</v>
      </c>
      <c r="G71" s="30"/>
    </row>
    <row r="72" spans="1:7" ht="33.75" x14ac:dyDescent="0.25">
      <c r="A72" s="42">
        <v>14111514</v>
      </c>
      <c r="B72" s="43" t="str">
        <f t="shared" ca="1" si="2"/>
        <v>Blocs o cuadernos de papel</v>
      </c>
      <c r="C72" s="44" t="s">
        <v>46</v>
      </c>
      <c r="D72" s="42">
        <v>6</v>
      </c>
      <c r="E72" s="45">
        <v>250</v>
      </c>
      <c r="F72" s="46">
        <f t="shared" ca="1" si="1"/>
        <v>1500</v>
      </c>
      <c r="G72" s="30"/>
    </row>
    <row r="73" spans="1:7" ht="33.75" x14ac:dyDescent="0.25">
      <c r="A73" s="42">
        <v>14111514</v>
      </c>
      <c r="B73" s="43" t="str">
        <f t="shared" ca="1" si="2"/>
        <v>Blocs o cuadernos de papel</v>
      </c>
      <c r="C73" s="44" t="s">
        <v>46</v>
      </c>
      <c r="D73" s="42">
        <v>6</v>
      </c>
      <c r="E73" s="45">
        <v>310</v>
      </c>
      <c r="F73" s="46">
        <f t="shared" ca="1" si="1"/>
        <v>1860</v>
      </c>
      <c r="G73" s="30"/>
    </row>
    <row r="74" spans="1:7" ht="33.75" x14ac:dyDescent="0.25">
      <c r="A74" s="42">
        <v>43202005</v>
      </c>
      <c r="B74" s="43" t="str">
        <f t="shared" ca="1" si="2"/>
        <v>Tarjeta flash de almacenamiento de memoria</v>
      </c>
      <c r="C74" s="44" t="s">
        <v>46</v>
      </c>
      <c r="D74" s="42">
        <v>46</v>
      </c>
      <c r="E74" s="45">
        <v>803</v>
      </c>
      <c r="F74" s="46">
        <f t="shared" ca="1" si="1"/>
        <v>36938</v>
      </c>
      <c r="G74" s="30"/>
    </row>
    <row r="75" spans="1:7" ht="33.75" x14ac:dyDescent="0.25">
      <c r="A75" s="42">
        <v>43202005</v>
      </c>
      <c r="B75" s="43" t="str">
        <f t="shared" ca="1" si="2"/>
        <v>Tarjeta flash de almacenamiento de memoria</v>
      </c>
      <c r="C75" s="44" t="s">
        <v>46</v>
      </c>
      <c r="D75" s="42">
        <v>46</v>
      </c>
      <c r="E75" s="45">
        <v>1055</v>
      </c>
      <c r="F75" s="46">
        <f t="shared" ca="1" si="1"/>
        <v>48530</v>
      </c>
      <c r="G75" s="30"/>
    </row>
    <row r="76" spans="1:7" ht="45" x14ac:dyDescent="0.25">
      <c r="A76" s="42">
        <v>44121621</v>
      </c>
      <c r="B76" s="43" t="str">
        <f t="shared" ca="1" si="2"/>
        <v>Almohadillas para escritorio o sus accesorios</v>
      </c>
      <c r="C76" s="44" t="s">
        <v>46</v>
      </c>
      <c r="D76" s="42">
        <v>36</v>
      </c>
      <c r="E76" s="45">
        <v>36</v>
      </c>
      <c r="F76" s="46">
        <f t="shared" ca="1" si="1"/>
        <v>1296</v>
      </c>
      <c r="G76" s="30"/>
    </row>
    <row r="77" spans="1:7" ht="33.75" x14ac:dyDescent="0.25">
      <c r="A77" s="42">
        <v>60121104</v>
      </c>
      <c r="B77" s="43" t="str">
        <f t="shared" ca="1" si="2"/>
        <v>Papel bond para para dibujo</v>
      </c>
      <c r="C77" s="44" t="s">
        <v>48</v>
      </c>
      <c r="D77" s="42">
        <v>15</v>
      </c>
      <c r="E77" s="45">
        <v>281</v>
      </c>
      <c r="F77" s="46">
        <f t="shared" ca="1" si="1"/>
        <v>4215</v>
      </c>
      <c r="G77" s="30"/>
    </row>
    <row r="78" spans="1:7" ht="33.75" x14ac:dyDescent="0.25">
      <c r="A78" s="42">
        <v>60121104</v>
      </c>
      <c r="B78" s="43" t="str">
        <f t="shared" ca="1" si="2"/>
        <v>Papel bond para para dibujo</v>
      </c>
      <c r="C78" s="44" t="s">
        <v>45</v>
      </c>
      <c r="D78" s="42">
        <v>75</v>
      </c>
      <c r="E78" s="45">
        <v>2237.2800000000002</v>
      </c>
      <c r="F78" s="46">
        <f t="shared" ca="1" si="1"/>
        <v>167796.00000000003</v>
      </c>
      <c r="G78" s="30"/>
    </row>
    <row r="79" spans="1:7" ht="33.75" x14ac:dyDescent="0.25">
      <c r="A79" s="42">
        <v>60121104</v>
      </c>
      <c r="B79" s="43" t="str">
        <f t="shared" ca="1" si="2"/>
        <v>Papel bond para para dibujo</v>
      </c>
      <c r="C79" s="44" t="s">
        <v>48</v>
      </c>
      <c r="D79" s="42">
        <v>12</v>
      </c>
      <c r="E79" s="45">
        <v>280</v>
      </c>
      <c r="F79" s="46">
        <f t="shared" ca="1" si="1"/>
        <v>3360</v>
      </c>
      <c r="G79" s="30"/>
    </row>
    <row r="80" spans="1:7" ht="33.75" x14ac:dyDescent="0.25">
      <c r="A80" s="42">
        <v>60121104</v>
      </c>
      <c r="B80" s="43" t="str">
        <f t="shared" ca="1" si="2"/>
        <v>Papel bond para para dibujo</v>
      </c>
      <c r="C80" s="44" t="s">
        <v>46</v>
      </c>
      <c r="D80" s="42">
        <v>23</v>
      </c>
      <c r="E80" s="45">
        <v>55</v>
      </c>
      <c r="F80" s="46">
        <f t="shared" ca="1" si="1"/>
        <v>1265</v>
      </c>
      <c r="G80" s="30"/>
    </row>
    <row r="81" spans="1:7" ht="33.75" x14ac:dyDescent="0.25">
      <c r="A81" s="42">
        <v>60121104</v>
      </c>
      <c r="B81" s="43" t="str">
        <f t="shared" ca="1" si="2"/>
        <v>Papel bond para para dibujo</v>
      </c>
      <c r="C81" s="44" t="s">
        <v>48</v>
      </c>
      <c r="D81" s="42">
        <v>8</v>
      </c>
      <c r="E81" s="45">
        <v>307</v>
      </c>
      <c r="F81" s="46">
        <f t="shared" ca="1" si="1"/>
        <v>2456</v>
      </c>
      <c r="G81" s="30"/>
    </row>
    <row r="82" spans="1:7" ht="16.5" x14ac:dyDescent="0.25">
      <c r="A82" s="42">
        <v>31201610</v>
      </c>
      <c r="B82" s="43" t="str">
        <f t="shared" ca="1" si="2"/>
        <v>Pegamentos</v>
      </c>
      <c r="C82" s="44" t="s">
        <v>46</v>
      </c>
      <c r="D82" s="42">
        <v>4</v>
      </c>
      <c r="E82" s="45">
        <v>148</v>
      </c>
      <c r="F82" s="46">
        <f t="shared" ca="1" si="1"/>
        <v>592</v>
      </c>
      <c r="G82" s="30"/>
    </row>
    <row r="83" spans="1:7" ht="33.75" x14ac:dyDescent="0.25">
      <c r="A83" s="42">
        <v>44122017</v>
      </c>
      <c r="B83" s="43" t="str">
        <f t="shared" ca="1" si="2"/>
        <v>Folders de colgar o accesorios</v>
      </c>
      <c r="C83" s="44" t="s">
        <v>45</v>
      </c>
      <c r="D83" s="42">
        <v>4</v>
      </c>
      <c r="E83" s="45">
        <v>461</v>
      </c>
      <c r="F83" s="46">
        <f t="shared" ca="1" si="1"/>
        <v>1844</v>
      </c>
      <c r="G83" s="30"/>
    </row>
    <row r="84" spans="1:7" ht="33.75" x14ac:dyDescent="0.25">
      <c r="A84" s="42">
        <v>44101716</v>
      </c>
      <c r="B84" s="43" t="str">
        <f t="shared" ca="1" si="2"/>
        <v>Unidades de perforación de orificios</v>
      </c>
      <c r="C84" s="44" t="s">
        <v>46</v>
      </c>
      <c r="D84" s="42">
        <v>1</v>
      </c>
      <c r="E84" s="45">
        <v>400</v>
      </c>
      <c r="F84" s="46">
        <f t="shared" ca="1" si="1"/>
        <v>400</v>
      </c>
      <c r="G84" s="30"/>
    </row>
    <row r="85" spans="1:7" ht="45" x14ac:dyDescent="0.25">
      <c r="A85" s="42">
        <v>44121628</v>
      </c>
      <c r="B85" s="43" t="str">
        <f t="shared" ca="1" si="2"/>
        <v>Contenedores o dispensadores de clips</v>
      </c>
      <c r="C85" s="44" t="s">
        <v>46</v>
      </c>
      <c r="D85" s="42">
        <v>12</v>
      </c>
      <c r="E85" s="45">
        <v>36</v>
      </c>
      <c r="F85" s="46">
        <f t="shared" ca="1" si="1"/>
        <v>432</v>
      </c>
      <c r="G85" s="30"/>
    </row>
    <row r="86" spans="1:7" ht="33.75" x14ac:dyDescent="0.25">
      <c r="A86" s="42">
        <v>44111509</v>
      </c>
      <c r="B86" s="43" t="str">
        <f t="shared" ref="B86:B110" ca="1" si="3">IFERROR(INDEX(UNSPSCDes,MATCH(INDIRECT(ADDRESS(ROW(),COLUMN()-1,4)),UNSPSCCode,0)),"")</f>
        <v>Sujetadores de esferos o lápices</v>
      </c>
      <c r="C86" s="44" t="s">
        <v>46</v>
      </c>
      <c r="D86" s="42">
        <v>12</v>
      </c>
      <c r="E86" s="45">
        <v>75</v>
      </c>
      <c r="F86" s="46">
        <f t="shared" ca="1" si="1"/>
        <v>900</v>
      </c>
      <c r="G86" s="30"/>
    </row>
    <row r="87" spans="1:7" ht="22.5" x14ac:dyDescent="0.25">
      <c r="A87" s="42">
        <v>14111815</v>
      </c>
      <c r="B87" s="43" t="str">
        <f t="shared" ca="1" si="3"/>
        <v>Tarjetas de identificación</v>
      </c>
      <c r="C87" s="44" t="s">
        <v>47</v>
      </c>
      <c r="D87" s="42">
        <v>3</v>
      </c>
      <c r="E87" s="45">
        <v>800</v>
      </c>
      <c r="F87" s="46">
        <f t="shared" ref="F87:F111" ca="1" si="4">INDIRECT(ADDRESS(ROW(),COLUMN()-2,4))*INDIRECT(ADDRESS(ROW(),COLUMN()-1,4))</f>
        <v>2400</v>
      </c>
      <c r="G87" s="30"/>
    </row>
    <row r="88" spans="1:7" ht="22.5" x14ac:dyDescent="0.25">
      <c r="A88" s="42">
        <v>14111530</v>
      </c>
      <c r="B88" s="43" t="str">
        <f t="shared" ca="1" si="3"/>
        <v>Papel de notas autoadhesivas</v>
      </c>
      <c r="C88" s="44" t="s">
        <v>47</v>
      </c>
      <c r="D88" s="42">
        <v>6</v>
      </c>
      <c r="E88" s="45">
        <v>20</v>
      </c>
      <c r="F88" s="46">
        <f t="shared" ca="1" si="4"/>
        <v>120</v>
      </c>
      <c r="G88" s="30"/>
    </row>
    <row r="89" spans="1:7" ht="22.5" x14ac:dyDescent="0.25">
      <c r="A89" s="42">
        <v>14111530</v>
      </c>
      <c r="B89" s="43" t="str">
        <f t="shared" ca="1" si="3"/>
        <v>Papel de notas autoadhesivas</v>
      </c>
      <c r="C89" s="44" t="s">
        <v>47</v>
      </c>
      <c r="D89" s="42">
        <v>16</v>
      </c>
      <c r="E89" s="45">
        <v>600</v>
      </c>
      <c r="F89" s="46">
        <f t="shared" ca="1" si="4"/>
        <v>9600</v>
      </c>
      <c r="G89" s="30"/>
    </row>
    <row r="90" spans="1:7" ht="22.5" x14ac:dyDescent="0.25">
      <c r="A90" s="42">
        <v>44122002</v>
      </c>
      <c r="B90" s="43" t="str">
        <f t="shared" ca="1" si="3"/>
        <v>Protectores de hojas</v>
      </c>
      <c r="C90" s="44" t="s">
        <v>47</v>
      </c>
      <c r="D90" s="42">
        <v>11</v>
      </c>
      <c r="E90" s="45">
        <v>200</v>
      </c>
      <c r="F90" s="46">
        <f t="shared" ca="1" si="4"/>
        <v>2200</v>
      </c>
      <c r="G90" s="30"/>
    </row>
    <row r="91" spans="1:7" ht="16.5" x14ac:dyDescent="0.25">
      <c r="A91" s="42">
        <v>44111808</v>
      </c>
      <c r="B91" s="43" t="str">
        <f t="shared" ca="1" si="3"/>
        <v>Reglas t</v>
      </c>
      <c r="C91" s="44" t="s">
        <v>46</v>
      </c>
      <c r="D91" s="42">
        <v>14</v>
      </c>
      <c r="E91" s="45">
        <v>25</v>
      </c>
      <c r="F91" s="46">
        <f t="shared" ca="1" si="4"/>
        <v>350</v>
      </c>
      <c r="G91" s="30"/>
    </row>
    <row r="92" spans="1:7" ht="16.5" x14ac:dyDescent="0.25">
      <c r="A92" s="42">
        <v>44111808</v>
      </c>
      <c r="B92" s="43" t="str">
        <f t="shared" ca="1" si="3"/>
        <v>Reglas t</v>
      </c>
      <c r="C92" s="44" t="s">
        <v>46</v>
      </c>
      <c r="D92" s="42">
        <v>6</v>
      </c>
      <c r="E92" s="45">
        <v>15</v>
      </c>
      <c r="F92" s="46">
        <f t="shared" ca="1" si="4"/>
        <v>90</v>
      </c>
      <c r="G92" s="30"/>
    </row>
    <row r="93" spans="1:7" ht="16.5" x14ac:dyDescent="0.25">
      <c r="A93" s="42">
        <v>44121716</v>
      </c>
      <c r="B93" s="43" t="str">
        <f t="shared" ca="1" si="3"/>
        <v>Resaltadores</v>
      </c>
      <c r="C93" s="44" t="s">
        <v>45</v>
      </c>
      <c r="D93" s="42">
        <v>3</v>
      </c>
      <c r="E93" s="45">
        <v>180</v>
      </c>
      <c r="F93" s="46">
        <f t="shared" ca="1" si="4"/>
        <v>540</v>
      </c>
      <c r="G93" s="30"/>
    </row>
    <row r="94" spans="1:7" ht="16.5" x14ac:dyDescent="0.25">
      <c r="A94" s="42">
        <v>44121716</v>
      </c>
      <c r="B94" s="43" t="str">
        <f t="shared" ca="1" si="3"/>
        <v>Resaltadores</v>
      </c>
      <c r="C94" s="44" t="s">
        <v>45</v>
      </c>
      <c r="D94" s="42">
        <v>3</v>
      </c>
      <c r="E94" s="45">
        <v>181</v>
      </c>
      <c r="F94" s="46">
        <f t="shared" ca="1" si="4"/>
        <v>543</v>
      </c>
      <c r="G94" s="30"/>
    </row>
    <row r="95" spans="1:7" ht="16.5" x14ac:dyDescent="0.25">
      <c r="A95" s="42">
        <v>44121716</v>
      </c>
      <c r="B95" s="43" t="str">
        <f t="shared" ca="1" si="3"/>
        <v>Resaltadores</v>
      </c>
      <c r="C95" s="44" t="s">
        <v>45</v>
      </c>
      <c r="D95" s="42">
        <v>3</v>
      </c>
      <c r="E95" s="45">
        <v>181</v>
      </c>
      <c r="F95" s="46">
        <f t="shared" ca="1" si="4"/>
        <v>543</v>
      </c>
      <c r="G95" s="30"/>
    </row>
    <row r="96" spans="1:7" ht="16.5" x14ac:dyDescent="0.25">
      <c r="A96" s="42">
        <v>44121716</v>
      </c>
      <c r="B96" s="43" t="str">
        <f t="shared" ca="1" si="3"/>
        <v>Resaltadores</v>
      </c>
      <c r="C96" s="44" t="s">
        <v>45</v>
      </c>
      <c r="D96" s="42">
        <v>3</v>
      </c>
      <c r="E96" s="45">
        <v>235</v>
      </c>
      <c r="F96" s="46">
        <f t="shared" ca="1" si="4"/>
        <v>705</v>
      </c>
      <c r="G96" s="30"/>
    </row>
    <row r="97" spans="1:7" ht="22.5" x14ac:dyDescent="0.25">
      <c r="A97" s="42">
        <v>44121619</v>
      </c>
      <c r="B97" s="43" t="str">
        <f t="shared" ca="1" si="3"/>
        <v>Tajalápices manuales</v>
      </c>
      <c r="C97" s="44" t="s">
        <v>46</v>
      </c>
      <c r="D97" s="42">
        <v>2</v>
      </c>
      <c r="E97" s="45">
        <v>1000</v>
      </c>
      <c r="F97" s="46">
        <f t="shared" ca="1" si="4"/>
        <v>2000</v>
      </c>
      <c r="G97" s="30"/>
    </row>
    <row r="98" spans="1:7" ht="16.5" x14ac:dyDescent="0.25">
      <c r="A98" s="42">
        <v>44121503</v>
      </c>
      <c r="B98" s="43" t="str">
        <f t="shared" ca="1" si="3"/>
        <v>Sobres</v>
      </c>
      <c r="C98" s="44" t="s">
        <v>46</v>
      </c>
      <c r="D98" s="42">
        <v>20</v>
      </c>
      <c r="E98" s="45">
        <v>23.73</v>
      </c>
      <c r="F98" s="46">
        <f t="shared" ca="1" si="4"/>
        <v>474.6</v>
      </c>
      <c r="G98" s="30"/>
    </row>
    <row r="99" spans="1:7" ht="16.5" x14ac:dyDescent="0.25">
      <c r="A99" s="42">
        <v>44121503</v>
      </c>
      <c r="B99" s="43" t="str">
        <f t="shared" ca="1" si="3"/>
        <v>Sobres</v>
      </c>
      <c r="C99" s="44" t="s">
        <v>45</v>
      </c>
      <c r="D99" s="42">
        <v>2</v>
      </c>
      <c r="E99" s="45">
        <v>2000</v>
      </c>
      <c r="F99" s="46">
        <f t="shared" ca="1" si="4"/>
        <v>4000</v>
      </c>
      <c r="G99" s="30"/>
    </row>
    <row r="100" spans="1:7" ht="16.5" x14ac:dyDescent="0.25">
      <c r="A100" s="42">
        <v>44121503</v>
      </c>
      <c r="B100" s="43" t="str">
        <f t="shared" ca="1" si="3"/>
        <v>Sobres</v>
      </c>
      <c r="C100" s="44" t="s">
        <v>45</v>
      </c>
      <c r="D100" s="42">
        <v>2</v>
      </c>
      <c r="E100" s="45">
        <v>1800</v>
      </c>
      <c r="F100" s="46">
        <f t="shared" ca="1" si="4"/>
        <v>3600</v>
      </c>
      <c r="G100" s="30"/>
    </row>
    <row r="101" spans="1:7" ht="16.5" x14ac:dyDescent="0.25">
      <c r="A101" s="42">
        <v>44121503</v>
      </c>
      <c r="B101" s="43" t="str">
        <f t="shared" ca="1" si="3"/>
        <v>Sobres</v>
      </c>
      <c r="C101" s="44" t="s">
        <v>45</v>
      </c>
      <c r="D101" s="42">
        <v>2</v>
      </c>
      <c r="E101" s="45">
        <v>1800</v>
      </c>
      <c r="F101" s="46">
        <f t="shared" ca="1" si="4"/>
        <v>3600</v>
      </c>
      <c r="G101" s="30"/>
    </row>
    <row r="102" spans="1:7" ht="16.5" x14ac:dyDescent="0.25">
      <c r="A102" s="42">
        <v>44121503</v>
      </c>
      <c r="B102" s="43" t="str">
        <f t="shared" ca="1" si="3"/>
        <v>Sobres</v>
      </c>
      <c r="C102" s="44" t="s">
        <v>45</v>
      </c>
      <c r="D102" s="42">
        <v>1</v>
      </c>
      <c r="E102" s="45">
        <v>1500</v>
      </c>
      <c r="F102" s="46">
        <f t="shared" ca="1" si="4"/>
        <v>1500</v>
      </c>
      <c r="G102" s="30"/>
    </row>
    <row r="103" spans="1:7" ht="22.5" x14ac:dyDescent="0.25">
      <c r="A103" s="42">
        <v>60121152</v>
      </c>
      <c r="B103" s="43" t="str">
        <f t="shared" ca="1" si="3"/>
        <v>Tablillas de escritura</v>
      </c>
      <c r="C103" s="44" t="s">
        <v>46</v>
      </c>
      <c r="D103" s="42">
        <v>12</v>
      </c>
      <c r="E103" s="45">
        <v>195</v>
      </c>
      <c r="F103" s="46">
        <f t="shared" ca="1" si="4"/>
        <v>2340</v>
      </c>
      <c r="G103" s="30"/>
    </row>
    <row r="104" spans="1:7" ht="33.75" x14ac:dyDescent="0.25">
      <c r="A104" s="42">
        <v>44103502</v>
      </c>
      <c r="B104" s="43" t="str">
        <f t="shared" ca="1" si="3"/>
        <v>Tapas de encuadernación</v>
      </c>
      <c r="C104" s="44" t="s">
        <v>47</v>
      </c>
      <c r="D104" s="42">
        <v>32</v>
      </c>
      <c r="E104" s="45">
        <v>410</v>
      </c>
      <c r="F104" s="46">
        <f t="shared" ca="1" si="4"/>
        <v>13120</v>
      </c>
      <c r="G104" s="30"/>
    </row>
    <row r="105" spans="1:7" ht="33.75" x14ac:dyDescent="0.25">
      <c r="A105" s="42">
        <v>44103502</v>
      </c>
      <c r="B105" s="43" t="str">
        <f t="shared" ca="1" si="3"/>
        <v>Tapas de encuadernación</v>
      </c>
      <c r="C105" s="44" t="s">
        <v>47</v>
      </c>
      <c r="D105" s="42">
        <v>24</v>
      </c>
      <c r="E105" s="45">
        <v>425</v>
      </c>
      <c r="F105" s="46">
        <f t="shared" ca="1" si="4"/>
        <v>10200</v>
      </c>
      <c r="G105" s="30"/>
    </row>
    <row r="106" spans="1:7" ht="33.75" x14ac:dyDescent="0.25">
      <c r="A106" s="42">
        <v>44103502</v>
      </c>
      <c r="B106" s="43" t="str">
        <f t="shared" ca="1" si="3"/>
        <v>Tapas de encuadernación</v>
      </c>
      <c r="C106" s="44" t="s">
        <v>47</v>
      </c>
      <c r="D106" s="42">
        <v>24</v>
      </c>
      <c r="E106" s="45">
        <v>450</v>
      </c>
      <c r="F106" s="46">
        <f t="shared" ca="1" si="4"/>
        <v>10800</v>
      </c>
      <c r="G106" s="30"/>
    </row>
    <row r="107" spans="1:7" ht="33.75" x14ac:dyDescent="0.25">
      <c r="A107" s="42">
        <v>60121104</v>
      </c>
      <c r="B107" s="43" t="str">
        <f t="shared" ca="1" si="3"/>
        <v>Papel bond para para dibujo</v>
      </c>
      <c r="C107" s="44" t="s">
        <v>45</v>
      </c>
      <c r="D107" s="42">
        <v>10</v>
      </c>
      <c r="E107" s="45">
        <v>2237.2800000000002</v>
      </c>
      <c r="F107" s="46">
        <f t="shared" ca="1" si="4"/>
        <v>22372.800000000003</v>
      </c>
      <c r="G107" s="30"/>
    </row>
    <row r="108" spans="1:7" ht="16.5" x14ac:dyDescent="0.25">
      <c r="A108" s="42">
        <v>44121618</v>
      </c>
      <c r="B108" s="43" t="str">
        <f t="shared" ca="1" si="3"/>
        <v>Tijeras</v>
      </c>
      <c r="C108" s="47" t="s">
        <v>46</v>
      </c>
      <c r="D108" s="42">
        <v>12</v>
      </c>
      <c r="E108" s="45">
        <v>45</v>
      </c>
      <c r="F108" s="46">
        <f t="shared" ca="1" si="4"/>
        <v>540</v>
      </c>
      <c r="G108" s="30"/>
    </row>
    <row r="109" spans="1:7" ht="22.5" x14ac:dyDescent="0.25">
      <c r="A109" s="42">
        <v>12191501</v>
      </c>
      <c r="B109" s="43" t="str">
        <f t="shared" ca="1" si="3"/>
        <v>Disolventes aromáticos</v>
      </c>
      <c r="C109" s="47" t="s">
        <v>45</v>
      </c>
      <c r="D109" s="42">
        <v>5</v>
      </c>
      <c r="E109" s="45">
        <v>1500</v>
      </c>
      <c r="F109" s="46">
        <f t="shared" ca="1" si="4"/>
        <v>7500</v>
      </c>
      <c r="G109" s="30"/>
    </row>
    <row r="110" spans="1:7" ht="22.5" x14ac:dyDescent="0.25">
      <c r="A110" s="42">
        <v>44103105</v>
      </c>
      <c r="B110" s="43" t="str">
        <f t="shared" ca="1" si="3"/>
        <v>Cartuchos de tinta</v>
      </c>
      <c r="C110" s="47" t="s">
        <v>46</v>
      </c>
      <c r="D110" s="42">
        <v>30</v>
      </c>
      <c r="E110" s="45">
        <v>2500</v>
      </c>
      <c r="F110" s="46">
        <f t="shared" ca="1" si="4"/>
        <v>75000</v>
      </c>
      <c r="G110" s="30"/>
    </row>
    <row r="111" spans="1:7" ht="16.5" x14ac:dyDescent="0.25">
      <c r="A111" s="30"/>
      <c r="B111" s="30"/>
      <c r="C111" s="30"/>
      <c r="D111" s="30"/>
      <c r="E111" s="48" t="s">
        <v>49</v>
      </c>
      <c r="F111" s="49">
        <f ca="1">SUM(Table4[MONTO TOTAL ESTIMADO])</f>
        <v>690759.4</v>
      </c>
      <c r="G111" s="30"/>
    </row>
    <row r="112" spans="1:7" ht="17.25" thickBot="1" x14ac:dyDescent="0.3">
      <c r="A112" s="30"/>
      <c r="B112" s="30"/>
      <c r="C112" s="30"/>
      <c r="D112" s="30"/>
      <c r="E112" s="30"/>
      <c r="F112" s="30"/>
      <c r="G112" s="30"/>
    </row>
    <row r="113" spans="1:7" ht="34.5" thickBot="1" x14ac:dyDescent="0.3">
      <c r="A113" s="31" t="s">
        <v>18</v>
      </c>
      <c r="B113" s="31" t="s">
        <v>19</v>
      </c>
      <c r="C113" s="31" t="s">
        <v>20</v>
      </c>
      <c r="D113" s="31" t="s">
        <v>21</v>
      </c>
      <c r="E113" s="31" t="s">
        <v>22</v>
      </c>
      <c r="F113" s="31" t="s">
        <v>23</v>
      </c>
      <c r="G113" s="50"/>
    </row>
    <row r="114" spans="1:7" ht="15.75" thickBot="1" x14ac:dyDescent="0.3">
      <c r="A114" s="32" t="s">
        <v>50</v>
      </c>
      <c r="B114" s="32" t="s">
        <v>51</v>
      </c>
      <c r="C114" s="33" t="s">
        <v>26</v>
      </c>
      <c r="D114" s="33" t="s">
        <v>52</v>
      </c>
      <c r="E114" s="33" t="s">
        <v>53</v>
      </c>
      <c r="F114" s="33"/>
      <c r="G114" s="50"/>
    </row>
    <row r="115" spans="1:7" ht="15.75" thickBot="1" x14ac:dyDescent="0.3">
      <c r="A115" s="34" t="s">
        <v>28</v>
      </c>
      <c r="B115" s="35" t="s">
        <v>29</v>
      </c>
      <c r="C115" s="51">
        <v>44992</v>
      </c>
      <c r="D115" s="34" t="s">
        <v>30</v>
      </c>
      <c r="E115" s="35" t="s">
        <v>31</v>
      </c>
      <c r="F115" s="33" t="s">
        <v>32</v>
      </c>
      <c r="G115" s="50"/>
    </row>
    <row r="116" spans="1:7" ht="15.75" thickBot="1" x14ac:dyDescent="0.3">
      <c r="A116" s="39"/>
      <c r="B116" s="35" t="s">
        <v>33</v>
      </c>
      <c r="C116" s="52">
        <f>IF(C115="","",IF(AND(MONTH(C115)&gt;=1,MONTH(C115)&lt;=3),1,IF(AND(MONTH(C115)&gt;=4,MONTH(C115)&lt;=6),2,IF(AND(MONTH(C115)&gt;=7,MONTH(C115)&lt;=9),3,4))))</f>
        <v>1</v>
      </c>
      <c r="D116" s="39"/>
      <c r="E116" s="35" t="s">
        <v>34</v>
      </c>
      <c r="F116" s="33" t="s">
        <v>35</v>
      </c>
      <c r="G116" s="50"/>
    </row>
    <row r="117" spans="1:7" ht="15.75" thickBot="1" x14ac:dyDescent="0.3">
      <c r="A117" s="39"/>
      <c r="B117" s="35" t="s">
        <v>36</v>
      </c>
      <c r="C117" s="51">
        <v>45001</v>
      </c>
      <c r="D117" s="39"/>
      <c r="E117" s="35" t="s">
        <v>37</v>
      </c>
      <c r="F117" s="33" t="s">
        <v>35</v>
      </c>
      <c r="G117" s="50"/>
    </row>
    <row r="118" spans="1:7" ht="15.75" thickBot="1" x14ac:dyDescent="0.3">
      <c r="A118" s="39"/>
      <c r="B118" s="35" t="s">
        <v>33</v>
      </c>
      <c r="C118" s="52">
        <f>IF(C117="","",IF(AND(MONTH(C117)&gt;=1,MONTH(C117)&lt;=3),1,IF(AND(MONTH(C117)&gt;=4,MONTH(C117)&lt;=6),2,IF(AND(MONTH(C117)&gt;=7,MONTH(C117)&lt;=9),3,4))))</f>
        <v>1</v>
      </c>
      <c r="D118" s="39"/>
      <c r="E118" s="35" t="s">
        <v>38</v>
      </c>
      <c r="F118" s="33" t="s">
        <v>35</v>
      </c>
      <c r="G118" s="50"/>
    </row>
    <row r="119" spans="1:7" ht="15.75" thickBot="1" x14ac:dyDescent="0.3">
      <c r="A119" s="50"/>
      <c r="B119" s="50"/>
      <c r="C119" s="50"/>
      <c r="D119" s="50"/>
      <c r="E119" s="50"/>
      <c r="F119" s="50"/>
      <c r="G119" s="50"/>
    </row>
    <row r="120" spans="1:7" ht="15.75" thickBot="1" x14ac:dyDescent="0.3">
      <c r="A120" s="41" t="s">
        <v>39</v>
      </c>
      <c r="B120" s="41" t="s">
        <v>40</v>
      </c>
      <c r="C120" s="41" t="s">
        <v>41</v>
      </c>
      <c r="D120" s="41" t="s">
        <v>42</v>
      </c>
      <c r="E120" s="41" t="s">
        <v>43</v>
      </c>
      <c r="F120" s="41" t="s">
        <v>44</v>
      </c>
      <c r="G120" s="50"/>
    </row>
    <row r="121" spans="1:7" ht="22.5" x14ac:dyDescent="0.25">
      <c r="A121" s="42">
        <v>50161510</v>
      </c>
      <c r="B121" s="43" t="str">
        <f t="shared" ref="B121:B131" ca="1" si="5">IFERROR(INDEX(UNSPSCDes,MATCH(INDIRECT(ADDRESS(ROW(),COLUMN()-1,4)),UNSPSCCode,0)),"")</f>
        <v>Endulzantes artificiales</v>
      </c>
      <c r="C121" s="53" t="s">
        <v>47</v>
      </c>
      <c r="D121" s="42">
        <v>175</v>
      </c>
      <c r="E121" s="45">
        <v>150</v>
      </c>
      <c r="F121" s="46">
        <f t="shared" ref="F121:F131" ca="1" si="6">INDIRECT(ADDRESS(ROW(),COLUMN()-2,4))*INDIRECT(ADDRESS(ROW(),COLUMN()-1,4))</f>
        <v>26250</v>
      </c>
      <c r="G121" s="50"/>
    </row>
    <row r="122" spans="1:7" x14ac:dyDescent="0.25">
      <c r="A122" s="42">
        <v>50201706</v>
      </c>
      <c r="B122" s="43" t="str">
        <f t="shared" ca="1" si="5"/>
        <v>Café</v>
      </c>
      <c r="C122" s="53" t="s">
        <v>47</v>
      </c>
      <c r="D122" s="42">
        <v>45</v>
      </c>
      <c r="E122" s="45">
        <v>1200</v>
      </c>
      <c r="F122" s="46">
        <f t="shared" ca="1" si="6"/>
        <v>54000</v>
      </c>
      <c r="G122" s="50"/>
    </row>
    <row r="123" spans="1:7" ht="22.5" x14ac:dyDescent="0.25">
      <c r="A123" s="42">
        <v>50161510</v>
      </c>
      <c r="B123" s="43" t="str">
        <f t="shared" ca="1" si="5"/>
        <v>Endulzantes artificiales</v>
      </c>
      <c r="C123" s="53" t="s">
        <v>47</v>
      </c>
      <c r="D123" s="42">
        <v>30</v>
      </c>
      <c r="E123" s="45">
        <v>170</v>
      </c>
      <c r="F123" s="46">
        <f t="shared" ca="1" si="6"/>
        <v>5100</v>
      </c>
      <c r="G123" s="50"/>
    </row>
    <row r="124" spans="1:7" ht="22.5" x14ac:dyDescent="0.25">
      <c r="A124" s="42">
        <v>50161815</v>
      </c>
      <c r="B124" s="43" t="str">
        <f t="shared" ca="1" si="5"/>
        <v>Goma de mascar</v>
      </c>
      <c r="C124" s="53" t="s">
        <v>47</v>
      </c>
      <c r="D124" s="42">
        <v>10</v>
      </c>
      <c r="E124" s="45">
        <v>300</v>
      </c>
      <c r="F124" s="46">
        <f t="shared" ca="1" si="6"/>
        <v>3000</v>
      </c>
      <c r="G124" s="50"/>
    </row>
    <row r="125" spans="1:7" ht="22.5" x14ac:dyDescent="0.25">
      <c r="A125" s="42">
        <v>50161815</v>
      </c>
      <c r="B125" s="43" t="str">
        <f t="shared" ca="1" si="5"/>
        <v>Goma de mascar</v>
      </c>
      <c r="C125" s="53" t="s">
        <v>47</v>
      </c>
      <c r="D125" s="42">
        <v>10</v>
      </c>
      <c r="E125" s="45">
        <v>70</v>
      </c>
      <c r="F125" s="46">
        <f t="shared" ca="1" si="6"/>
        <v>700</v>
      </c>
      <c r="G125" s="50"/>
    </row>
    <row r="126" spans="1:7" ht="22.5" x14ac:dyDescent="0.25">
      <c r="A126" s="42">
        <v>50161815</v>
      </c>
      <c r="B126" s="43" t="str">
        <f t="shared" ca="1" si="5"/>
        <v>Goma de mascar</v>
      </c>
      <c r="C126" s="53" t="s">
        <v>47</v>
      </c>
      <c r="D126" s="42">
        <v>10</v>
      </c>
      <c r="E126" s="45">
        <v>95</v>
      </c>
      <c r="F126" s="46">
        <f t="shared" ca="1" si="6"/>
        <v>950</v>
      </c>
      <c r="G126" s="50"/>
    </row>
    <row r="127" spans="1:7" ht="22.5" x14ac:dyDescent="0.25">
      <c r="A127" s="42">
        <v>50161815</v>
      </c>
      <c r="B127" s="43" t="str">
        <f t="shared" ca="1" si="5"/>
        <v>Goma de mascar</v>
      </c>
      <c r="C127" s="53" t="s">
        <v>47</v>
      </c>
      <c r="D127" s="42">
        <v>10</v>
      </c>
      <c r="E127" s="45">
        <v>95</v>
      </c>
      <c r="F127" s="46">
        <f t="shared" ca="1" si="6"/>
        <v>950</v>
      </c>
      <c r="G127" s="50"/>
    </row>
    <row r="128" spans="1:7" ht="22.5" x14ac:dyDescent="0.25">
      <c r="A128" s="42">
        <v>50161815</v>
      </c>
      <c r="B128" s="43" t="str">
        <f t="shared" ca="1" si="5"/>
        <v>Goma de mascar</v>
      </c>
      <c r="C128" s="53" t="s">
        <v>47</v>
      </c>
      <c r="D128" s="42">
        <v>10</v>
      </c>
      <c r="E128" s="45">
        <v>95</v>
      </c>
      <c r="F128" s="46">
        <f t="shared" ca="1" si="6"/>
        <v>950</v>
      </c>
      <c r="G128" s="50"/>
    </row>
    <row r="129" spans="1:7" x14ac:dyDescent="0.25">
      <c r="A129" s="42">
        <v>50201711</v>
      </c>
      <c r="B129" s="43" t="str">
        <f t="shared" ca="1" si="5"/>
        <v>Té instantáneo</v>
      </c>
      <c r="C129" s="53" t="s">
        <v>46</v>
      </c>
      <c r="D129" s="42">
        <v>16</v>
      </c>
      <c r="E129" s="45">
        <v>300</v>
      </c>
      <c r="F129" s="46">
        <f t="shared" ca="1" si="6"/>
        <v>4800</v>
      </c>
      <c r="G129" s="50"/>
    </row>
    <row r="130" spans="1:7" x14ac:dyDescent="0.25">
      <c r="A130" s="42">
        <v>50201711</v>
      </c>
      <c r="B130" s="43" t="str">
        <f t="shared" ca="1" si="5"/>
        <v>Té instantáneo</v>
      </c>
      <c r="C130" s="53" t="s">
        <v>46</v>
      </c>
      <c r="D130" s="42">
        <v>10</v>
      </c>
      <c r="E130" s="45">
        <v>235</v>
      </c>
      <c r="F130" s="46">
        <f t="shared" ca="1" si="6"/>
        <v>2350</v>
      </c>
      <c r="G130" s="50"/>
    </row>
    <row r="131" spans="1:7" x14ac:dyDescent="0.25">
      <c r="A131" s="42">
        <v>50201711</v>
      </c>
      <c r="B131" s="43" t="str">
        <f t="shared" ca="1" si="5"/>
        <v>Té instantáneo</v>
      </c>
      <c r="C131" s="53" t="s">
        <v>46</v>
      </c>
      <c r="D131" s="42">
        <v>2</v>
      </c>
      <c r="E131" s="45">
        <v>300</v>
      </c>
      <c r="F131" s="46">
        <f t="shared" ca="1" si="6"/>
        <v>600</v>
      </c>
      <c r="G131" s="50"/>
    </row>
    <row r="132" spans="1:7" x14ac:dyDescent="0.25">
      <c r="A132" s="50"/>
      <c r="B132" s="50"/>
      <c r="C132" s="50"/>
      <c r="D132" s="50"/>
      <c r="E132" s="54" t="s">
        <v>49</v>
      </c>
      <c r="F132" s="49">
        <f ca="1">SUM(Table32[MONTO TOTAL ESTIMADO])</f>
        <v>99650</v>
      </c>
      <c r="G132" s="50"/>
    </row>
    <row r="133" spans="1:7" ht="17.25" thickBot="1" x14ac:dyDescent="0.3">
      <c r="A133" s="30"/>
      <c r="B133" s="30"/>
      <c r="C133" s="30"/>
      <c r="D133" s="30"/>
      <c r="E133" s="30"/>
      <c r="F133" s="30"/>
      <c r="G133" s="30"/>
    </row>
    <row r="134" spans="1:7" ht="34.5" thickBot="1" x14ac:dyDescent="0.3">
      <c r="A134" s="31" t="s">
        <v>18</v>
      </c>
      <c r="B134" s="31" t="s">
        <v>19</v>
      </c>
      <c r="C134" s="31" t="s">
        <v>20</v>
      </c>
      <c r="D134" s="31" t="s">
        <v>21</v>
      </c>
      <c r="E134" s="31" t="s">
        <v>22</v>
      </c>
      <c r="F134" s="31" t="s">
        <v>23</v>
      </c>
      <c r="G134" s="50"/>
    </row>
    <row r="135" spans="1:7" ht="15.75" thickBot="1" x14ac:dyDescent="0.3">
      <c r="A135" s="32" t="s">
        <v>54</v>
      </c>
      <c r="B135" s="32" t="s">
        <v>55</v>
      </c>
      <c r="C135" s="33" t="s">
        <v>26</v>
      </c>
      <c r="D135" s="33" t="s">
        <v>52</v>
      </c>
      <c r="E135" s="33" t="s">
        <v>56</v>
      </c>
      <c r="F135" s="33"/>
      <c r="G135" s="50"/>
    </row>
    <row r="136" spans="1:7" ht="15.75" thickBot="1" x14ac:dyDescent="0.3">
      <c r="A136" s="34" t="s">
        <v>28</v>
      </c>
      <c r="B136" s="35" t="s">
        <v>29</v>
      </c>
      <c r="C136" s="51">
        <v>44993</v>
      </c>
      <c r="D136" s="34" t="s">
        <v>30</v>
      </c>
      <c r="E136" s="35" t="s">
        <v>31</v>
      </c>
      <c r="F136" s="33" t="s">
        <v>32</v>
      </c>
      <c r="G136" s="50"/>
    </row>
    <row r="137" spans="1:7" ht="15.75" thickBot="1" x14ac:dyDescent="0.3">
      <c r="A137" s="39"/>
      <c r="B137" s="35" t="s">
        <v>33</v>
      </c>
      <c r="C137" s="52">
        <f>IF(C136="","",IF(AND(MONTH(C136)&gt;=1,MONTH(C136)&lt;=3),1,IF(AND(MONTH(C136)&gt;=4,MONTH(C136)&lt;=6),2,IF(AND(MONTH(C136)&gt;=7,MONTH(C136)&lt;=9),3,4))))</f>
        <v>1</v>
      </c>
      <c r="D137" s="39"/>
      <c r="E137" s="35" t="s">
        <v>34</v>
      </c>
      <c r="F137" s="33" t="s">
        <v>35</v>
      </c>
      <c r="G137" s="50"/>
    </row>
    <row r="138" spans="1:7" ht="15.75" thickBot="1" x14ac:dyDescent="0.3">
      <c r="A138" s="39"/>
      <c r="B138" s="35" t="s">
        <v>36</v>
      </c>
      <c r="C138" s="51">
        <v>45002</v>
      </c>
      <c r="D138" s="39"/>
      <c r="E138" s="35" t="s">
        <v>37</v>
      </c>
      <c r="F138" s="33" t="s">
        <v>35</v>
      </c>
      <c r="G138" s="50"/>
    </row>
    <row r="139" spans="1:7" ht="15.75" thickBot="1" x14ac:dyDescent="0.3">
      <c r="A139" s="39"/>
      <c r="B139" s="35" t="s">
        <v>33</v>
      </c>
      <c r="C139" s="52">
        <f>IF(C138="","",IF(AND(MONTH(C138)&gt;=1,MONTH(C138)&lt;=3),1,IF(AND(MONTH(C138)&gt;=4,MONTH(C138)&lt;=6),2,IF(AND(MONTH(C138)&gt;=7,MONTH(C138)&lt;=9),3,4))))</f>
        <v>1</v>
      </c>
      <c r="D139" s="39"/>
      <c r="E139" s="35" t="s">
        <v>38</v>
      </c>
      <c r="F139" s="33" t="s">
        <v>35</v>
      </c>
      <c r="G139" s="50"/>
    </row>
    <row r="140" spans="1:7" ht="15.75" thickBot="1" x14ac:dyDescent="0.3">
      <c r="A140" s="50"/>
      <c r="B140" s="50"/>
      <c r="C140" s="50"/>
      <c r="D140" s="50"/>
      <c r="E140" s="50"/>
      <c r="F140" s="50"/>
      <c r="G140" s="50"/>
    </row>
    <row r="141" spans="1:7" ht="15.75" thickBot="1" x14ac:dyDescent="0.3">
      <c r="A141" s="41" t="s">
        <v>39</v>
      </c>
      <c r="B141" s="41" t="s">
        <v>40</v>
      </c>
      <c r="C141" s="41" t="s">
        <v>41</v>
      </c>
      <c r="D141" s="41" t="s">
        <v>42</v>
      </c>
      <c r="E141" s="41" t="s">
        <v>43</v>
      </c>
      <c r="F141" s="41" t="s">
        <v>44</v>
      </c>
      <c r="G141" s="50"/>
    </row>
    <row r="142" spans="1:7" x14ac:dyDescent="0.25">
      <c r="A142" s="42">
        <v>50202301</v>
      </c>
      <c r="B142" s="43" t="str">
        <f ca="1">IFERROR(INDEX(UNSPSCDes,MATCH(INDIRECT(ADDRESS(ROW(),COLUMN()-1,4)),UNSPSCCode,0)),"")</f>
        <v>Agua</v>
      </c>
      <c r="C142" s="42" t="s">
        <v>47</v>
      </c>
      <c r="D142" s="42">
        <v>250</v>
      </c>
      <c r="E142" s="45">
        <v>140</v>
      </c>
      <c r="F142" s="46">
        <f ca="1">INDIRECT(ADDRESS(ROW(),COLUMN()-2,4))*INDIRECT(ADDRESS(ROW(),COLUMN()-1,4))</f>
        <v>35000</v>
      </c>
      <c r="G142" s="50"/>
    </row>
    <row r="143" spans="1:7" x14ac:dyDescent="0.25">
      <c r="A143" s="42">
        <v>50202301</v>
      </c>
      <c r="B143" s="43" t="str">
        <f ca="1">IFERROR(INDEX(UNSPSCDes,MATCH(INDIRECT(ADDRESS(ROW(),COLUMN()-1,4)),UNSPSCCode,0)),"")</f>
        <v>Agua</v>
      </c>
      <c r="C143" s="42" t="s">
        <v>46</v>
      </c>
      <c r="D143" s="42">
        <v>1200</v>
      </c>
      <c r="E143" s="45">
        <v>70</v>
      </c>
      <c r="F143" s="46">
        <f ca="1">INDIRECT(ADDRESS(ROW(),COLUMN()-2,4))*INDIRECT(ADDRESS(ROW(),COLUMN()-1,4))</f>
        <v>84000</v>
      </c>
      <c r="G143" s="50"/>
    </row>
    <row r="144" spans="1:7" x14ac:dyDescent="0.25">
      <c r="A144" s="50"/>
      <c r="B144" s="50"/>
      <c r="C144" s="50"/>
      <c r="D144" s="50"/>
      <c r="E144" s="54" t="s">
        <v>49</v>
      </c>
      <c r="F144" s="49">
        <f ca="1">SUM(Table33[MONTO TOTAL ESTIMADO])</f>
        <v>119000</v>
      </c>
      <c r="G144" s="50"/>
    </row>
    <row r="145" spans="1:7" ht="17.25" thickBot="1" x14ac:dyDescent="0.3">
      <c r="A145" s="30"/>
      <c r="B145" s="30"/>
      <c r="C145" s="30"/>
      <c r="D145" s="30"/>
      <c r="E145" s="30"/>
      <c r="F145" s="30"/>
      <c r="G145" s="30"/>
    </row>
    <row r="146" spans="1:7" ht="34.5" thickBot="1" x14ac:dyDescent="0.3">
      <c r="A146" s="31" t="s">
        <v>18</v>
      </c>
      <c r="B146" s="31" t="s">
        <v>19</v>
      </c>
      <c r="C146" s="31" t="s">
        <v>20</v>
      </c>
      <c r="D146" s="31" t="s">
        <v>21</v>
      </c>
      <c r="E146" s="31" t="s">
        <v>22</v>
      </c>
      <c r="F146" s="31" t="s">
        <v>23</v>
      </c>
      <c r="G146" s="50"/>
    </row>
    <row r="147" spans="1:7" ht="15.75" thickBot="1" x14ac:dyDescent="0.3">
      <c r="A147" s="32" t="s">
        <v>57</v>
      </c>
      <c r="B147" s="32" t="s">
        <v>58</v>
      </c>
      <c r="C147" s="33" t="s">
        <v>26</v>
      </c>
      <c r="D147" s="33" t="s">
        <v>52</v>
      </c>
      <c r="E147" s="33" t="s">
        <v>53</v>
      </c>
      <c r="F147" s="33"/>
      <c r="G147" s="50"/>
    </row>
    <row r="148" spans="1:7" ht="15.75" thickBot="1" x14ac:dyDescent="0.3">
      <c r="A148" s="34" t="s">
        <v>28</v>
      </c>
      <c r="B148" s="35" t="s">
        <v>29</v>
      </c>
      <c r="C148" s="51">
        <v>44995</v>
      </c>
      <c r="D148" s="34" t="s">
        <v>30</v>
      </c>
      <c r="E148" s="35" t="s">
        <v>31</v>
      </c>
      <c r="F148" s="33" t="s">
        <v>32</v>
      </c>
      <c r="G148" s="50"/>
    </row>
    <row r="149" spans="1:7" ht="15.75" thickBot="1" x14ac:dyDescent="0.3">
      <c r="A149" s="39"/>
      <c r="B149" s="35" t="s">
        <v>33</v>
      </c>
      <c r="C149" s="52">
        <f>IF(C148="","",IF(AND(MONTH(C148)&gt;=1,MONTH(C148)&lt;=3),1,IF(AND(MONTH(C148)&gt;=4,MONTH(C148)&lt;=6),2,IF(AND(MONTH(C148)&gt;=7,MONTH(C148)&lt;=9),3,4))))</f>
        <v>1</v>
      </c>
      <c r="D149" s="39"/>
      <c r="E149" s="35" t="s">
        <v>34</v>
      </c>
      <c r="F149" s="33" t="s">
        <v>35</v>
      </c>
      <c r="G149" s="50"/>
    </row>
    <row r="150" spans="1:7" ht="15.75" thickBot="1" x14ac:dyDescent="0.3">
      <c r="A150" s="39"/>
      <c r="B150" s="35" t="s">
        <v>36</v>
      </c>
      <c r="C150" s="51">
        <v>45005</v>
      </c>
      <c r="D150" s="39"/>
      <c r="E150" s="35" t="s">
        <v>37</v>
      </c>
      <c r="F150" s="33" t="s">
        <v>35</v>
      </c>
      <c r="G150" s="50"/>
    </row>
    <row r="151" spans="1:7" ht="15.75" thickBot="1" x14ac:dyDescent="0.3">
      <c r="A151" s="39"/>
      <c r="B151" s="35" t="s">
        <v>33</v>
      </c>
      <c r="C151" s="52">
        <f>IF(C150="","",IF(AND(MONTH(C150)&gt;=1,MONTH(C150)&lt;=3),1,IF(AND(MONTH(C150)&gt;=4,MONTH(C150)&lt;=6),2,IF(AND(MONTH(C150)&gt;=7,MONTH(C150)&lt;=9),3,4))))</f>
        <v>1</v>
      </c>
      <c r="D151" s="39"/>
      <c r="E151" s="35" t="s">
        <v>38</v>
      </c>
      <c r="F151" s="33" t="s">
        <v>35</v>
      </c>
      <c r="G151" s="50"/>
    </row>
    <row r="152" spans="1:7" ht="15.75" thickBot="1" x14ac:dyDescent="0.3">
      <c r="A152" s="50"/>
      <c r="B152" s="50"/>
      <c r="C152" s="50"/>
      <c r="D152" s="50"/>
      <c r="E152" s="50"/>
      <c r="F152" s="50"/>
      <c r="G152" s="50"/>
    </row>
    <row r="153" spans="1:7" ht="15.75" thickBot="1" x14ac:dyDescent="0.3">
      <c r="A153" s="41" t="s">
        <v>39</v>
      </c>
      <c r="B153" s="41" t="s">
        <v>40</v>
      </c>
      <c r="C153" s="41" t="s">
        <v>41</v>
      </c>
      <c r="D153" s="41" t="s">
        <v>42</v>
      </c>
      <c r="E153" s="41" t="s">
        <v>43</v>
      </c>
      <c r="F153" s="41" t="s">
        <v>44</v>
      </c>
      <c r="G153" s="50"/>
    </row>
    <row r="154" spans="1:7" ht="22.5" x14ac:dyDescent="0.25">
      <c r="A154" s="42">
        <v>47131810</v>
      </c>
      <c r="B154" s="43" t="str">
        <f t="shared" ref="B154:B174" ca="1" si="7">IFERROR(INDEX(UNSPSCDes,MATCH(INDIRECT(ADDRESS(ROW(),COLUMN()-1,4)),UNSPSCCode,0)),"")</f>
        <v>Productos para el lavaplatos</v>
      </c>
      <c r="C154" s="42" t="s">
        <v>46</v>
      </c>
      <c r="D154" s="42">
        <v>60</v>
      </c>
      <c r="E154" s="45">
        <v>20</v>
      </c>
      <c r="F154" s="46">
        <f t="shared" ref="F154:F174" ca="1" si="8">INDIRECT(ADDRESS(ROW(),COLUMN()-2,4))*INDIRECT(ADDRESS(ROW(),COLUMN()-1,4))</f>
        <v>1200</v>
      </c>
      <c r="G154" s="50"/>
    </row>
    <row r="155" spans="1:7" ht="22.5" x14ac:dyDescent="0.25">
      <c r="A155" s="42">
        <v>47131810</v>
      </c>
      <c r="B155" s="43" t="str">
        <f t="shared" ca="1" si="7"/>
        <v>Productos para el lavaplatos</v>
      </c>
      <c r="C155" s="53" t="s">
        <v>46</v>
      </c>
      <c r="D155" s="42">
        <v>48</v>
      </c>
      <c r="E155" s="45">
        <v>20</v>
      </c>
      <c r="F155" s="46">
        <f t="shared" ca="1" si="8"/>
        <v>960</v>
      </c>
      <c r="G155" s="50"/>
    </row>
    <row r="156" spans="1:7" ht="22.5" x14ac:dyDescent="0.25">
      <c r="A156" s="42">
        <v>47131602</v>
      </c>
      <c r="B156" s="43" t="str">
        <f t="shared" ca="1" si="7"/>
        <v>Almohadillas para restregar</v>
      </c>
      <c r="C156" s="53" t="s">
        <v>46</v>
      </c>
      <c r="D156" s="42">
        <v>48</v>
      </c>
      <c r="E156" s="45">
        <v>20</v>
      </c>
      <c r="F156" s="46">
        <f t="shared" ca="1" si="8"/>
        <v>960</v>
      </c>
      <c r="G156" s="50"/>
    </row>
    <row r="157" spans="1:7" ht="22.5" x14ac:dyDescent="0.25">
      <c r="A157" s="42">
        <v>47131605</v>
      </c>
      <c r="B157" s="43" t="str">
        <f t="shared" ca="1" si="7"/>
        <v>Cepillos de limpieza</v>
      </c>
      <c r="C157" s="53" t="s">
        <v>46</v>
      </c>
      <c r="D157" s="42">
        <v>3</v>
      </c>
      <c r="E157" s="45">
        <v>250</v>
      </c>
      <c r="F157" s="46">
        <f t="shared" ca="1" si="8"/>
        <v>750</v>
      </c>
      <c r="G157" s="50"/>
    </row>
    <row r="158" spans="1:7" ht="33.75" x14ac:dyDescent="0.25">
      <c r="A158" s="42">
        <v>47131803</v>
      </c>
      <c r="B158" s="43" t="str">
        <f t="shared" ca="1" si="7"/>
        <v>Desinfectantes para uso doméstico</v>
      </c>
      <c r="C158" s="42" t="s">
        <v>45</v>
      </c>
      <c r="D158" s="42">
        <v>8</v>
      </c>
      <c r="E158" s="45">
        <v>1100</v>
      </c>
      <c r="F158" s="46">
        <f t="shared" ca="1" si="8"/>
        <v>8800</v>
      </c>
      <c r="G158" s="50"/>
    </row>
    <row r="159" spans="1:7" ht="45" x14ac:dyDescent="0.25">
      <c r="A159" s="42">
        <v>52151503</v>
      </c>
      <c r="B159" s="43" t="str">
        <f t="shared" ca="1" si="7"/>
        <v>Cubiertos desechables para uso doméstico</v>
      </c>
      <c r="C159" s="42" t="s">
        <v>45</v>
      </c>
      <c r="D159" s="42">
        <v>8</v>
      </c>
      <c r="E159" s="45">
        <v>540</v>
      </c>
      <c r="F159" s="46">
        <f t="shared" ca="1" si="8"/>
        <v>4320</v>
      </c>
      <c r="G159" s="50"/>
    </row>
    <row r="160" spans="1:7" ht="33.75" x14ac:dyDescent="0.25">
      <c r="A160" s="42">
        <v>47131803</v>
      </c>
      <c r="B160" s="43" t="str">
        <f t="shared" ca="1" si="7"/>
        <v>Desinfectantes para uso doméstico</v>
      </c>
      <c r="C160" s="42" t="s">
        <v>45</v>
      </c>
      <c r="D160" s="42">
        <v>2</v>
      </c>
      <c r="E160" s="45">
        <v>1062</v>
      </c>
      <c r="F160" s="46">
        <f t="shared" ca="1" si="8"/>
        <v>2124</v>
      </c>
      <c r="G160" s="50"/>
    </row>
    <row r="161" spans="1:7" ht="33.75" x14ac:dyDescent="0.25">
      <c r="A161" s="42">
        <v>47131803</v>
      </c>
      <c r="B161" s="43" t="str">
        <f t="shared" ca="1" si="7"/>
        <v>Desinfectantes para uso doméstico</v>
      </c>
      <c r="C161" s="42" t="s">
        <v>45</v>
      </c>
      <c r="D161" s="42">
        <v>9</v>
      </c>
      <c r="E161" s="45">
        <v>1100</v>
      </c>
      <c r="F161" s="46">
        <f t="shared" ca="1" si="8"/>
        <v>9900</v>
      </c>
      <c r="G161" s="50"/>
    </row>
    <row r="162" spans="1:7" ht="22.5" x14ac:dyDescent="0.25">
      <c r="A162" s="42">
        <v>47131801</v>
      </c>
      <c r="B162" s="43" t="str">
        <f t="shared" ca="1" si="7"/>
        <v>Limpiadores de pisos</v>
      </c>
      <c r="C162" s="42" t="s">
        <v>46</v>
      </c>
      <c r="D162" s="42">
        <v>2</v>
      </c>
      <c r="E162" s="45">
        <v>1500</v>
      </c>
      <c r="F162" s="46">
        <f t="shared" ca="1" si="8"/>
        <v>3000</v>
      </c>
      <c r="G162" s="50"/>
    </row>
    <row r="163" spans="1:7" x14ac:dyDescent="0.25">
      <c r="A163" s="42">
        <v>47131604</v>
      </c>
      <c r="B163" s="43" t="str">
        <f t="shared" ca="1" si="7"/>
        <v>Escobas</v>
      </c>
      <c r="C163" s="53" t="s">
        <v>46</v>
      </c>
      <c r="D163" s="42">
        <v>10</v>
      </c>
      <c r="E163" s="45">
        <v>185</v>
      </c>
      <c r="F163" s="46">
        <f t="shared" ca="1" si="8"/>
        <v>1850</v>
      </c>
      <c r="G163" s="50"/>
    </row>
    <row r="164" spans="1:7" ht="33.75" x14ac:dyDescent="0.25">
      <c r="A164" s="42">
        <v>47131803</v>
      </c>
      <c r="B164" s="43" t="str">
        <f t="shared" ca="1" si="7"/>
        <v>Desinfectantes para uso doméstico</v>
      </c>
      <c r="C164" s="42" t="s">
        <v>46</v>
      </c>
      <c r="D164" s="42">
        <v>5</v>
      </c>
      <c r="E164" s="45">
        <v>248</v>
      </c>
      <c r="F164" s="46">
        <f t="shared" ca="1" si="8"/>
        <v>1240</v>
      </c>
      <c r="G164" s="50"/>
    </row>
    <row r="165" spans="1:7" ht="22.5" x14ac:dyDescent="0.25">
      <c r="A165" s="42">
        <v>47121701</v>
      </c>
      <c r="B165" s="43" t="str">
        <f t="shared" ca="1" si="7"/>
        <v>Bolsas de basura</v>
      </c>
      <c r="C165" s="42" t="s">
        <v>47</v>
      </c>
      <c r="D165" s="42">
        <v>30</v>
      </c>
      <c r="E165" s="45">
        <v>496</v>
      </c>
      <c r="F165" s="46">
        <f t="shared" ca="1" si="8"/>
        <v>14880</v>
      </c>
      <c r="G165" s="50"/>
    </row>
    <row r="166" spans="1:7" ht="22.5" x14ac:dyDescent="0.25">
      <c r="A166" s="42">
        <v>47121701</v>
      </c>
      <c r="B166" s="43" t="str">
        <f t="shared" ca="1" si="7"/>
        <v>Bolsas de basura</v>
      </c>
      <c r="C166" s="42" t="s">
        <v>47</v>
      </c>
      <c r="D166" s="42">
        <v>31</v>
      </c>
      <c r="E166" s="45">
        <v>130</v>
      </c>
      <c r="F166" s="46">
        <f t="shared" ca="1" si="8"/>
        <v>4030</v>
      </c>
      <c r="G166" s="50"/>
    </row>
    <row r="167" spans="1:7" ht="22.5" x14ac:dyDescent="0.25">
      <c r="A167" s="42">
        <v>42132205</v>
      </c>
      <c r="B167" s="43" t="str">
        <f t="shared" ca="1" si="7"/>
        <v>Guantes de cirugía</v>
      </c>
      <c r="C167" s="42" t="s">
        <v>45</v>
      </c>
      <c r="D167" s="42">
        <v>20</v>
      </c>
      <c r="E167" s="45">
        <v>260</v>
      </c>
      <c r="F167" s="46">
        <f t="shared" ca="1" si="8"/>
        <v>5200</v>
      </c>
      <c r="G167" s="50"/>
    </row>
    <row r="168" spans="1:7" ht="22.5" x14ac:dyDescent="0.25">
      <c r="A168" s="42">
        <v>42132205</v>
      </c>
      <c r="B168" s="43" t="str">
        <f t="shared" ca="1" si="7"/>
        <v>Guantes de cirugía</v>
      </c>
      <c r="C168" s="42" t="s">
        <v>46</v>
      </c>
      <c r="D168" s="42">
        <v>20</v>
      </c>
      <c r="E168" s="45">
        <v>55</v>
      </c>
      <c r="F168" s="46">
        <f t="shared" ca="1" si="8"/>
        <v>1100</v>
      </c>
      <c r="G168" s="50"/>
    </row>
    <row r="169" spans="1:7" x14ac:dyDescent="0.25">
      <c r="A169" s="42">
        <v>10191509</v>
      </c>
      <c r="B169" s="43" t="str">
        <f t="shared" ca="1" si="7"/>
        <v>Insecticidas</v>
      </c>
      <c r="C169" s="42" t="s">
        <v>46</v>
      </c>
      <c r="D169" s="42">
        <v>6</v>
      </c>
      <c r="E169" s="45">
        <v>350</v>
      </c>
      <c r="F169" s="46">
        <f t="shared" ca="1" si="8"/>
        <v>2100</v>
      </c>
      <c r="G169" s="50"/>
    </row>
    <row r="170" spans="1:7" ht="22.5" x14ac:dyDescent="0.25">
      <c r="A170" s="42">
        <v>53131626</v>
      </c>
      <c r="B170" s="43" t="str">
        <f t="shared" ca="1" si="7"/>
        <v>Desinfectante de manos</v>
      </c>
      <c r="C170" s="42" t="s">
        <v>45</v>
      </c>
      <c r="D170" s="42">
        <v>2</v>
      </c>
      <c r="E170" s="45">
        <v>700</v>
      </c>
      <c r="F170" s="46">
        <f t="shared" ca="1" si="8"/>
        <v>1400</v>
      </c>
      <c r="G170" s="50"/>
    </row>
    <row r="171" spans="1:7" ht="33.75" x14ac:dyDescent="0.25">
      <c r="A171" s="42">
        <v>47131824</v>
      </c>
      <c r="B171" s="43" t="str">
        <f t="shared" ca="1" si="7"/>
        <v>Limpiadores de vidrio o ventanas</v>
      </c>
      <c r="C171" s="42" t="s">
        <v>59</v>
      </c>
      <c r="D171" s="42">
        <v>6</v>
      </c>
      <c r="E171" s="45">
        <v>155</v>
      </c>
      <c r="F171" s="46">
        <f t="shared" ca="1" si="8"/>
        <v>930</v>
      </c>
      <c r="G171" s="50"/>
    </row>
    <row r="172" spans="1:7" ht="33.75" x14ac:dyDescent="0.25">
      <c r="A172" s="42">
        <v>47131803</v>
      </c>
      <c r="B172" s="43" t="str">
        <f t="shared" ca="1" si="7"/>
        <v>Desinfectantes para uso doméstico</v>
      </c>
      <c r="C172" s="42" t="s">
        <v>46</v>
      </c>
      <c r="D172" s="42">
        <v>38</v>
      </c>
      <c r="E172" s="45">
        <v>400</v>
      </c>
      <c r="F172" s="46">
        <f t="shared" ca="1" si="8"/>
        <v>15200</v>
      </c>
      <c r="G172" s="50"/>
    </row>
    <row r="173" spans="1:7" ht="22.5" x14ac:dyDescent="0.25">
      <c r="A173" s="42">
        <v>47131611</v>
      </c>
      <c r="B173" s="43" t="str">
        <f t="shared" ca="1" si="7"/>
        <v>Recogedor de basura</v>
      </c>
      <c r="C173" s="42" t="s">
        <v>46</v>
      </c>
      <c r="D173" s="42">
        <v>5</v>
      </c>
      <c r="E173" s="45">
        <v>112</v>
      </c>
      <c r="F173" s="46">
        <f t="shared" ca="1" si="8"/>
        <v>560</v>
      </c>
      <c r="G173" s="50"/>
    </row>
    <row r="174" spans="1:7" ht="22.5" x14ac:dyDescent="0.25">
      <c r="A174" s="42">
        <v>52121704</v>
      </c>
      <c r="B174" s="43" t="str">
        <f t="shared" ca="1" si="7"/>
        <v>Toallas de manos</v>
      </c>
      <c r="C174" s="42" t="s">
        <v>46</v>
      </c>
      <c r="D174" s="42">
        <v>24</v>
      </c>
      <c r="E174" s="45">
        <v>270</v>
      </c>
      <c r="F174" s="46">
        <f t="shared" ca="1" si="8"/>
        <v>6480</v>
      </c>
      <c r="G174" s="50"/>
    </row>
    <row r="175" spans="1:7" x14ac:dyDescent="0.25">
      <c r="A175" s="50"/>
      <c r="B175" s="50"/>
      <c r="C175" s="50"/>
      <c r="D175" s="50"/>
      <c r="E175" s="54" t="s">
        <v>49</v>
      </c>
      <c r="F175" s="49">
        <f ca="1">SUM(Table36[MONTO TOTAL ESTIMADO])</f>
        <v>86984</v>
      </c>
      <c r="G175" s="50"/>
    </row>
    <row r="176" spans="1:7" ht="17.25" thickBot="1" x14ac:dyDescent="0.3">
      <c r="A176" s="30"/>
      <c r="B176" s="30"/>
      <c r="C176" s="30"/>
      <c r="D176" s="30"/>
      <c r="E176" s="30"/>
      <c r="F176" s="30"/>
      <c r="G176" s="30"/>
    </row>
    <row r="177" spans="1:7" ht="34.5" thickBot="1" x14ac:dyDescent="0.3">
      <c r="A177" s="31" t="s">
        <v>18</v>
      </c>
      <c r="B177" s="31" t="s">
        <v>19</v>
      </c>
      <c r="C177" s="31" t="s">
        <v>20</v>
      </c>
      <c r="D177" s="31" t="s">
        <v>21</v>
      </c>
      <c r="E177" s="31" t="s">
        <v>22</v>
      </c>
      <c r="F177" s="31" t="s">
        <v>23</v>
      </c>
      <c r="G177" s="50"/>
    </row>
    <row r="178" spans="1:7" ht="15.75" thickBot="1" x14ac:dyDescent="0.3">
      <c r="A178" s="32" t="s">
        <v>60</v>
      </c>
      <c r="B178" s="32" t="s">
        <v>61</v>
      </c>
      <c r="C178" s="33" t="s">
        <v>26</v>
      </c>
      <c r="D178" s="33" t="s">
        <v>27</v>
      </c>
      <c r="E178" s="33" t="s">
        <v>62</v>
      </c>
      <c r="F178" s="33"/>
      <c r="G178" s="50"/>
    </row>
    <row r="179" spans="1:7" ht="15.75" thickBot="1" x14ac:dyDescent="0.3">
      <c r="A179" s="34" t="s">
        <v>28</v>
      </c>
      <c r="B179" s="35" t="s">
        <v>29</v>
      </c>
      <c r="C179" s="51">
        <v>45001</v>
      </c>
      <c r="D179" s="34" t="s">
        <v>30</v>
      </c>
      <c r="E179" s="35" t="s">
        <v>31</v>
      </c>
      <c r="F179" s="33" t="s">
        <v>32</v>
      </c>
      <c r="G179" s="50"/>
    </row>
    <row r="180" spans="1:7" ht="15.75" thickBot="1" x14ac:dyDescent="0.3">
      <c r="A180" s="39"/>
      <c r="B180" s="35" t="s">
        <v>33</v>
      </c>
      <c r="C180" s="52">
        <f>IF(C179="","",IF(AND(MONTH(C179)&gt;=1,MONTH(C179)&lt;=3),1,IF(AND(MONTH(C179)&gt;=4,MONTH(C179)&lt;=6),2,IF(AND(MONTH(C179)&gt;=7,MONTH(C179)&lt;=9),3,4))))</f>
        <v>1</v>
      </c>
      <c r="D180" s="39"/>
      <c r="E180" s="35" t="s">
        <v>34</v>
      </c>
      <c r="F180" s="33" t="s">
        <v>35</v>
      </c>
      <c r="G180" s="50"/>
    </row>
    <row r="181" spans="1:7" ht="15.75" thickBot="1" x14ac:dyDescent="0.3">
      <c r="A181" s="39"/>
      <c r="B181" s="35" t="s">
        <v>36</v>
      </c>
      <c r="C181" s="51">
        <v>45008</v>
      </c>
      <c r="D181" s="39"/>
      <c r="E181" s="35" t="s">
        <v>37</v>
      </c>
      <c r="F181" s="33" t="s">
        <v>35</v>
      </c>
      <c r="G181" s="50"/>
    </row>
    <row r="182" spans="1:7" ht="15.75" thickBot="1" x14ac:dyDescent="0.3">
      <c r="A182" s="39"/>
      <c r="B182" s="35" t="s">
        <v>33</v>
      </c>
      <c r="C182" s="52">
        <f>IF(C181="","",IF(AND(MONTH(C181)&gt;=1,MONTH(C181)&lt;=3),1,IF(AND(MONTH(C181)&gt;=4,MONTH(C181)&lt;=6),2,IF(AND(MONTH(C181)&gt;=7,MONTH(C181)&lt;=9),3,4))))</f>
        <v>1</v>
      </c>
      <c r="D182" s="39"/>
      <c r="E182" s="35" t="s">
        <v>38</v>
      </c>
      <c r="F182" s="33" t="s">
        <v>35</v>
      </c>
      <c r="G182" s="50"/>
    </row>
    <row r="183" spans="1:7" ht="15.75" thickBot="1" x14ac:dyDescent="0.3">
      <c r="A183" s="50"/>
      <c r="B183" s="50"/>
      <c r="C183" s="50"/>
      <c r="D183" s="50"/>
      <c r="E183" s="50"/>
      <c r="F183" s="50"/>
      <c r="G183" s="50"/>
    </row>
    <row r="184" spans="1:7" ht="15.75" thickBot="1" x14ac:dyDescent="0.3">
      <c r="A184" s="41" t="s">
        <v>39</v>
      </c>
      <c r="B184" s="41" t="s">
        <v>40</v>
      </c>
      <c r="C184" s="41" t="s">
        <v>41</v>
      </c>
      <c r="D184" s="41" t="s">
        <v>42</v>
      </c>
      <c r="E184" s="41" t="s">
        <v>43</v>
      </c>
      <c r="F184" s="41" t="s">
        <v>44</v>
      </c>
      <c r="G184" s="50"/>
    </row>
    <row r="185" spans="1:7" ht="33.75" x14ac:dyDescent="0.25">
      <c r="A185" s="42">
        <v>44103103</v>
      </c>
      <c r="B185" s="43" t="str">
        <f t="shared" ref="B185:B221" ca="1" si="9">IFERROR(INDEX(UNSPSCDes,MATCH(INDIRECT(ADDRESS(ROW(),COLUMN()-1,4)),UNSPSCCode,0)),"")</f>
        <v>Tóner para impresoras o fax</v>
      </c>
      <c r="C185" s="42" t="s">
        <v>46</v>
      </c>
      <c r="D185" s="42">
        <v>10</v>
      </c>
      <c r="E185" s="45">
        <v>620</v>
      </c>
      <c r="F185" s="46">
        <f t="shared" ref="F185:F221" ca="1" si="10">INDIRECT(ADDRESS(ROW(),COLUMN()-2,4))*INDIRECT(ADDRESS(ROW(),COLUMN()-1,4))</f>
        <v>6200</v>
      </c>
      <c r="G185" s="50"/>
    </row>
    <row r="186" spans="1:7" ht="33.75" x14ac:dyDescent="0.25">
      <c r="A186" s="42">
        <v>44103103</v>
      </c>
      <c r="B186" s="43" t="str">
        <f t="shared" ca="1" si="9"/>
        <v>Tóner para impresoras o fax</v>
      </c>
      <c r="C186" s="42" t="s">
        <v>46</v>
      </c>
      <c r="D186" s="42">
        <v>10</v>
      </c>
      <c r="E186" s="45">
        <v>620</v>
      </c>
      <c r="F186" s="46">
        <f t="shared" ca="1" si="10"/>
        <v>6200</v>
      </c>
      <c r="G186" s="50"/>
    </row>
    <row r="187" spans="1:7" ht="33.75" x14ac:dyDescent="0.25">
      <c r="A187" s="42">
        <v>44103103</v>
      </c>
      <c r="B187" s="43" t="str">
        <f t="shared" ca="1" si="9"/>
        <v>Tóner para impresoras o fax</v>
      </c>
      <c r="C187" s="42" t="s">
        <v>46</v>
      </c>
      <c r="D187" s="42">
        <v>5</v>
      </c>
      <c r="E187" s="45">
        <v>620</v>
      </c>
      <c r="F187" s="46">
        <f t="shared" ca="1" si="10"/>
        <v>3100</v>
      </c>
      <c r="G187" s="50"/>
    </row>
    <row r="188" spans="1:7" ht="33.75" x14ac:dyDescent="0.25">
      <c r="A188" s="42">
        <v>44103103</v>
      </c>
      <c r="B188" s="43" t="str">
        <f t="shared" ca="1" si="9"/>
        <v>Tóner para impresoras o fax</v>
      </c>
      <c r="C188" s="42" t="s">
        <v>46</v>
      </c>
      <c r="D188" s="42">
        <v>5</v>
      </c>
      <c r="E188" s="45">
        <v>620</v>
      </c>
      <c r="F188" s="46">
        <f t="shared" ca="1" si="10"/>
        <v>3100</v>
      </c>
      <c r="G188" s="50"/>
    </row>
    <row r="189" spans="1:7" ht="33.75" x14ac:dyDescent="0.25">
      <c r="A189" s="42">
        <v>44103103</v>
      </c>
      <c r="B189" s="43" t="str">
        <f t="shared" ca="1" si="9"/>
        <v>Tóner para impresoras o fax</v>
      </c>
      <c r="C189" s="42" t="s">
        <v>46</v>
      </c>
      <c r="D189" s="42">
        <v>10</v>
      </c>
      <c r="E189" s="45">
        <v>1100</v>
      </c>
      <c r="F189" s="46">
        <f t="shared" ca="1" si="10"/>
        <v>11000</v>
      </c>
      <c r="G189" s="50"/>
    </row>
    <row r="190" spans="1:7" ht="33.75" x14ac:dyDescent="0.25">
      <c r="A190" s="42">
        <v>44103103</v>
      </c>
      <c r="B190" s="43" t="str">
        <f t="shared" ca="1" si="9"/>
        <v>Tóner para impresoras o fax</v>
      </c>
      <c r="C190" s="42" t="s">
        <v>46</v>
      </c>
      <c r="D190" s="42">
        <v>5</v>
      </c>
      <c r="E190" s="45">
        <v>1100</v>
      </c>
      <c r="F190" s="46">
        <f t="shared" ca="1" si="10"/>
        <v>5500</v>
      </c>
      <c r="G190" s="50"/>
    </row>
    <row r="191" spans="1:7" ht="33.75" x14ac:dyDescent="0.25">
      <c r="A191" s="42">
        <v>44103103</v>
      </c>
      <c r="B191" s="43" t="str">
        <f t="shared" ca="1" si="9"/>
        <v>Tóner para impresoras o fax</v>
      </c>
      <c r="C191" s="42" t="s">
        <v>46</v>
      </c>
      <c r="D191" s="42">
        <v>5</v>
      </c>
      <c r="E191" s="45">
        <v>1100</v>
      </c>
      <c r="F191" s="46">
        <f t="shared" ca="1" si="10"/>
        <v>5500</v>
      </c>
      <c r="G191" s="50"/>
    </row>
    <row r="192" spans="1:7" ht="33.75" x14ac:dyDescent="0.25">
      <c r="A192" s="42">
        <v>44103103</v>
      </c>
      <c r="B192" s="43" t="str">
        <f t="shared" ca="1" si="9"/>
        <v>Tóner para impresoras o fax</v>
      </c>
      <c r="C192" s="42" t="s">
        <v>46</v>
      </c>
      <c r="D192" s="42">
        <v>5</v>
      </c>
      <c r="E192" s="45">
        <v>1100</v>
      </c>
      <c r="F192" s="46">
        <f t="shared" ca="1" si="10"/>
        <v>5500</v>
      </c>
      <c r="G192" s="50"/>
    </row>
    <row r="193" spans="1:7" ht="33.75" x14ac:dyDescent="0.25">
      <c r="A193" s="42">
        <v>44103103</v>
      </c>
      <c r="B193" s="43" t="str">
        <f t="shared" ca="1" si="9"/>
        <v>Tóner para impresoras o fax</v>
      </c>
      <c r="C193" s="42" t="s">
        <v>46</v>
      </c>
      <c r="D193" s="42">
        <v>5</v>
      </c>
      <c r="E193" s="45">
        <v>1100</v>
      </c>
      <c r="F193" s="46">
        <f t="shared" ca="1" si="10"/>
        <v>5500</v>
      </c>
      <c r="G193" s="50"/>
    </row>
    <row r="194" spans="1:7" ht="33.75" x14ac:dyDescent="0.25">
      <c r="A194" s="42">
        <v>44103103</v>
      </c>
      <c r="B194" s="43" t="str">
        <f t="shared" ca="1" si="9"/>
        <v>Tóner para impresoras o fax</v>
      </c>
      <c r="C194" s="42" t="s">
        <v>46</v>
      </c>
      <c r="D194" s="42">
        <v>5</v>
      </c>
      <c r="E194" s="45">
        <v>1100</v>
      </c>
      <c r="F194" s="46">
        <f t="shared" ca="1" si="10"/>
        <v>5500</v>
      </c>
      <c r="G194" s="50"/>
    </row>
    <row r="195" spans="1:7" ht="33.75" x14ac:dyDescent="0.25">
      <c r="A195" s="42">
        <v>44103103</v>
      </c>
      <c r="B195" s="43" t="str">
        <f t="shared" ca="1" si="9"/>
        <v>Tóner para impresoras o fax</v>
      </c>
      <c r="C195" s="42" t="s">
        <v>46</v>
      </c>
      <c r="D195" s="42">
        <v>4</v>
      </c>
      <c r="E195" s="45">
        <v>6300</v>
      </c>
      <c r="F195" s="46">
        <f t="shared" ca="1" si="10"/>
        <v>25200</v>
      </c>
      <c r="G195" s="50"/>
    </row>
    <row r="196" spans="1:7" ht="33.75" x14ac:dyDescent="0.25">
      <c r="A196" s="42">
        <v>44103103</v>
      </c>
      <c r="B196" s="43" t="str">
        <f t="shared" ca="1" si="9"/>
        <v>Tóner para impresoras o fax</v>
      </c>
      <c r="C196" s="42" t="s">
        <v>46</v>
      </c>
      <c r="D196" s="42">
        <v>4</v>
      </c>
      <c r="E196" s="45">
        <v>6300</v>
      </c>
      <c r="F196" s="46">
        <f t="shared" ca="1" si="10"/>
        <v>25200</v>
      </c>
      <c r="G196" s="50"/>
    </row>
    <row r="197" spans="1:7" ht="33.75" x14ac:dyDescent="0.25">
      <c r="A197" s="42">
        <v>44103103</v>
      </c>
      <c r="B197" s="43" t="str">
        <f t="shared" ca="1" si="9"/>
        <v>Tóner para impresoras o fax</v>
      </c>
      <c r="C197" s="42" t="s">
        <v>46</v>
      </c>
      <c r="D197" s="42">
        <v>4</v>
      </c>
      <c r="E197" s="45">
        <v>4470</v>
      </c>
      <c r="F197" s="46">
        <f t="shared" ca="1" si="10"/>
        <v>17880</v>
      </c>
      <c r="G197" s="50"/>
    </row>
    <row r="198" spans="1:7" ht="33.75" x14ac:dyDescent="0.25">
      <c r="A198" s="42">
        <v>44103103</v>
      </c>
      <c r="B198" s="43" t="str">
        <f t="shared" ca="1" si="9"/>
        <v>Tóner para impresoras o fax</v>
      </c>
      <c r="C198" s="42" t="s">
        <v>46</v>
      </c>
      <c r="D198" s="42">
        <v>4</v>
      </c>
      <c r="E198" s="45">
        <v>6300</v>
      </c>
      <c r="F198" s="46">
        <f t="shared" ca="1" si="10"/>
        <v>25200</v>
      </c>
      <c r="G198" s="50"/>
    </row>
    <row r="199" spans="1:7" ht="33.75" x14ac:dyDescent="0.25">
      <c r="A199" s="42">
        <v>44103103</v>
      </c>
      <c r="B199" s="43" t="str">
        <f t="shared" ca="1" si="9"/>
        <v>Tóner para impresoras o fax</v>
      </c>
      <c r="C199" s="42" t="s">
        <v>46</v>
      </c>
      <c r="D199" s="42">
        <v>2</v>
      </c>
      <c r="E199" s="45">
        <v>5884</v>
      </c>
      <c r="F199" s="46">
        <f t="shared" ca="1" si="10"/>
        <v>11768</v>
      </c>
      <c r="G199" s="50"/>
    </row>
    <row r="200" spans="1:7" ht="33.75" x14ac:dyDescent="0.25">
      <c r="A200" s="42">
        <v>44103103</v>
      </c>
      <c r="B200" s="43" t="str">
        <f t="shared" ca="1" si="9"/>
        <v>Tóner para impresoras o fax</v>
      </c>
      <c r="C200" s="42" t="s">
        <v>46</v>
      </c>
      <c r="D200" s="42">
        <v>1</v>
      </c>
      <c r="E200" s="45">
        <v>5300</v>
      </c>
      <c r="F200" s="46">
        <f t="shared" ca="1" si="10"/>
        <v>5300</v>
      </c>
      <c r="G200" s="50"/>
    </row>
    <row r="201" spans="1:7" ht="33.75" x14ac:dyDescent="0.25">
      <c r="A201" s="42">
        <v>44103103</v>
      </c>
      <c r="B201" s="43" t="str">
        <f t="shared" ca="1" si="9"/>
        <v>Tóner para impresoras o fax</v>
      </c>
      <c r="C201" s="42" t="s">
        <v>46</v>
      </c>
      <c r="D201" s="42">
        <v>2</v>
      </c>
      <c r="E201" s="45">
        <v>9000</v>
      </c>
      <c r="F201" s="46">
        <f t="shared" ca="1" si="10"/>
        <v>18000</v>
      </c>
      <c r="G201" s="50"/>
    </row>
    <row r="202" spans="1:7" ht="33.75" x14ac:dyDescent="0.25">
      <c r="A202" s="42">
        <v>44103103</v>
      </c>
      <c r="B202" s="43" t="str">
        <f t="shared" ca="1" si="9"/>
        <v>Tóner para impresoras o fax</v>
      </c>
      <c r="C202" s="42" t="s">
        <v>46</v>
      </c>
      <c r="D202" s="42">
        <v>6</v>
      </c>
      <c r="E202" s="45">
        <v>5885</v>
      </c>
      <c r="F202" s="46">
        <f t="shared" ca="1" si="10"/>
        <v>35310</v>
      </c>
      <c r="G202" s="50"/>
    </row>
    <row r="203" spans="1:7" ht="33.75" x14ac:dyDescent="0.25">
      <c r="A203" s="42">
        <v>44103103</v>
      </c>
      <c r="B203" s="43" t="str">
        <f t="shared" ca="1" si="9"/>
        <v>Tóner para impresoras o fax</v>
      </c>
      <c r="C203" s="42" t="s">
        <v>46</v>
      </c>
      <c r="D203" s="42">
        <v>5</v>
      </c>
      <c r="E203" s="45">
        <v>8200</v>
      </c>
      <c r="F203" s="46">
        <f t="shared" ca="1" si="10"/>
        <v>41000</v>
      </c>
      <c r="G203" s="50"/>
    </row>
    <row r="204" spans="1:7" ht="33.75" x14ac:dyDescent="0.25">
      <c r="A204" s="42">
        <v>44103103</v>
      </c>
      <c r="B204" s="43" t="str">
        <f t="shared" ca="1" si="9"/>
        <v>Tóner para impresoras o fax</v>
      </c>
      <c r="C204" s="42" t="s">
        <v>46</v>
      </c>
      <c r="D204" s="42">
        <v>4</v>
      </c>
      <c r="E204" s="45">
        <v>7700</v>
      </c>
      <c r="F204" s="46">
        <f t="shared" ca="1" si="10"/>
        <v>30800</v>
      </c>
      <c r="G204" s="50"/>
    </row>
    <row r="205" spans="1:7" ht="33.75" x14ac:dyDescent="0.25">
      <c r="A205" s="42">
        <v>44103103</v>
      </c>
      <c r="B205" s="43" t="str">
        <f t="shared" ca="1" si="9"/>
        <v>Tóner para impresoras o fax</v>
      </c>
      <c r="C205" s="42" t="s">
        <v>46</v>
      </c>
      <c r="D205" s="42">
        <v>6</v>
      </c>
      <c r="E205" s="45">
        <v>6500</v>
      </c>
      <c r="F205" s="46">
        <f t="shared" ca="1" si="10"/>
        <v>39000</v>
      </c>
      <c r="G205" s="50"/>
    </row>
    <row r="206" spans="1:7" ht="33.75" x14ac:dyDescent="0.25">
      <c r="A206" s="42">
        <v>44103103</v>
      </c>
      <c r="B206" s="43" t="str">
        <f t="shared" ca="1" si="9"/>
        <v>Tóner para impresoras o fax</v>
      </c>
      <c r="C206" s="42" t="s">
        <v>46</v>
      </c>
      <c r="D206" s="42">
        <v>2</v>
      </c>
      <c r="E206" s="45">
        <v>6700</v>
      </c>
      <c r="F206" s="46">
        <f t="shared" ca="1" si="10"/>
        <v>13400</v>
      </c>
      <c r="G206" s="50"/>
    </row>
    <row r="207" spans="1:7" ht="33.75" x14ac:dyDescent="0.25">
      <c r="A207" s="42">
        <v>44103103</v>
      </c>
      <c r="B207" s="43" t="str">
        <f t="shared" ca="1" si="9"/>
        <v>Tóner para impresoras o fax</v>
      </c>
      <c r="C207" s="42" t="s">
        <v>46</v>
      </c>
      <c r="D207" s="42">
        <v>4</v>
      </c>
      <c r="E207" s="45">
        <v>7500</v>
      </c>
      <c r="F207" s="46">
        <f t="shared" ca="1" si="10"/>
        <v>30000</v>
      </c>
      <c r="G207" s="50"/>
    </row>
    <row r="208" spans="1:7" ht="33.75" x14ac:dyDescent="0.25">
      <c r="A208" s="42">
        <v>44103103</v>
      </c>
      <c r="B208" s="43" t="str">
        <f t="shared" ca="1" si="9"/>
        <v>Tóner para impresoras o fax</v>
      </c>
      <c r="C208" s="42" t="s">
        <v>46</v>
      </c>
      <c r="D208" s="42">
        <v>5</v>
      </c>
      <c r="E208" s="45">
        <v>9350</v>
      </c>
      <c r="F208" s="46">
        <f t="shared" ca="1" si="10"/>
        <v>46750</v>
      </c>
      <c r="G208" s="50"/>
    </row>
    <row r="209" spans="1:7" ht="33.75" x14ac:dyDescent="0.25">
      <c r="A209" s="42">
        <v>44103103</v>
      </c>
      <c r="B209" s="43" t="str">
        <f t="shared" ca="1" si="9"/>
        <v>Tóner para impresoras o fax</v>
      </c>
      <c r="C209" s="42" t="s">
        <v>46</v>
      </c>
      <c r="D209" s="42">
        <v>5</v>
      </c>
      <c r="E209" s="45">
        <v>11950</v>
      </c>
      <c r="F209" s="46">
        <f t="shared" ca="1" si="10"/>
        <v>59750</v>
      </c>
      <c r="G209" s="50"/>
    </row>
    <row r="210" spans="1:7" ht="33.75" x14ac:dyDescent="0.25">
      <c r="A210" s="42">
        <v>44103103</v>
      </c>
      <c r="B210" s="43" t="str">
        <f t="shared" ca="1" si="9"/>
        <v>Tóner para impresoras o fax</v>
      </c>
      <c r="C210" s="42" t="s">
        <v>46</v>
      </c>
      <c r="D210" s="42">
        <v>5</v>
      </c>
      <c r="E210" s="45">
        <v>11950</v>
      </c>
      <c r="F210" s="46">
        <f t="shared" ca="1" si="10"/>
        <v>59750</v>
      </c>
      <c r="G210" s="50"/>
    </row>
    <row r="211" spans="1:7" ht="33.75" x14ac:dyDescent="0.25">
      <c r="A211" s="42">
        <v>44103103</v>
      </c>
      <c r="B211" s="43" t="str">
        <f t="shared" ca="1" si="9"/>
        <v>Tóner para impresoras o fax</v>
      </c>
      <c r="C211" s="42" t="s">
        <v>46</v>
      </c>
      <c r="D211" s="42">
        <v>5</v>
      </c>
      <c r="E211" s="45">
        <v>11950</v>
      </c>
      <c r="F211" s="46">
        <f t="shared" ca="1" si="10"/>
        <v>59750</v>
      </c>
      <c r="G211" s="50"/>
    </row>
    <row r="212" spans="1:7" ht="33.75" x14ac:dyDescent="0.25">
      <c r="A212" s="42">
        <v>44103103</v>
      </c>
      <c r="B212" s="43" t="str">
        <f t="shared" ca="1" si="9"/>
        <v>Tóner para impresoras o fax</v>
      </c>
      <c r="C212" s="42" t="s">
        <v>46</v>
      </c>
      <c r="D212" s="42">
        <v>6</v>
      </c>
      <c r="E212" s="45">
        <v>4100</v>
      </c>
      <c r="F212" s="46">
        <f t="shared" ca="1" si="10"/>
        <v>24600</v>
      </c>
      <c r="G212" s="50"/>
    </row>
    <row r="213" spans="1:7" ht="33.75" x14ac:dyDescent="0.25">
      <c r="A213" s="42">
        <v>44103103</v>
      </c>
      <c r="B213" s="43" t="str">
        <f t="shared" ca="1" si="9"/>
        <v>Tóner para impresoras o fax</v>
      </c>
      <c r="C213" s="42" t="s">
        <v>46</v>
      </c>
      <c r="D213" s="42">
        <v>5</v>
      </c>
      <c r="E213" s="45">
        <v>4500</v>
      </c>
      <c r="F213" s="46">
        <f t="shared" ca="1" si="10"/>
        <v>22500</v>
      </c>
      <c r="G213" s="50"/>
    </row>
    <row r="214" spans="1:7" ht="33.75" x14ac:dyDescent="0.25">
      <c r="A214" s="42">
        <v>44103103</v>
      </c>
      <c r="B214" s="43" t="str">
        <f t="shared" ca="1" si="9"/>
        <v>Tóner para impresoras o fax</v>
      </c>
      <c r="C214" s="42" t="s">
        <v>46</v>
      </c>
      <c r="D214" s="42">
        <v>5</v>
      </c>
      <c r="E214" s="45">
        <v>4500</v>
      </c>
      <c r="F214" s="46">
        <f t="shared" ca="1" si="10"/>
        <v>22500</v>
      </c>
      <c r="G214" s="50"/>
    </row>
    <row r="215" spans="1:7" ht="33.75" x14ac:dyDescent="0.25">
      <c r="A215" s="42">
        <v>44103103</v>
      </c>
      <c r="B215" s="43" t="str">
        <f t="shared" ca="1" si="9"/>
        <v>Tóner para impresoras o fax</v>
      </c>
      <c r="C215" s="42" t="s">
        <v>46</v>
      </c>
      <c r="D215" s="42">
        <v>5</v>
      </c>
      <c r="E215" s="45">
        <v>5100</v>
      </c>
      <c r="F215" s="46">
        <f t="shared" ca="1" si="10"/>
        <v>25500</v>
      </c>
      <c r="G215" s="50"/>
    </row>
    <row r="216" spans="1:7" ht="33.75" x14ac:dyDescent="0.25">
      <c r="A216" s="42">
        <v>44103103</v>
      </c>
      <c r="B216" s="43" t="str">
        <f t="shared" ca="1" si="9"/>
        <v>Tóner para impresoras o fax</v>
      </c>
      <c r="C216" s="42" t="s">
        <v>46</v>
      </c>
      <c r="D216" s="42">
        <v>5</v>
      </c>
      <c r="E216" s="45">
        <v>5100</v>
      </c>
      <c r="F216" s="46">
        <f t="shared" ca="1" si="10"/>
        <v>25500</v>
      </c>
      <c r="G216" s="50"/>
    </row>
    <row r="217" spans="1:7" ht="33.75" x14ac:dyDescent="0.25">
      <c r="A217" s="42">
        <v>44103103</v>
      </c>
      <c r="B217" s="43" t="str">
        <f t="shared" ca="1" si="9"/>
        <v>Tóner para impresoras o fax</v>
      </c>
      <c r="C217" s="42" t="s">
        <v>46</v>
      </c>
      <c r="D217" s="42">
        <v>4</v>
      </c>
      <c r="E217" s="45">
        <v>10872</v>
      </c>
      <c r="F217" s="46">
        <f t="shared" ca="1" si="10"/>
        <v>43488</v>
      </c>
      <c r="G217" s="50"/>
    </row>
    <row r="218" spans="1:7" ht="33.75" x14ac:dyDescent="0.25">
      <c r="A218" s="42">
        <v>44103103</v>
      </c>
      <c r="B218" s="43" t="str">
        <f t="shared" ca="1" si="9"/>
        <v>Tóner para impresoras o fax</v>
      </c>
      <c r="C218" s="42" t="s">
        <v>46</v>
      </c>
      <c r="D218" s="42">
        <v>2</v>
      </c>
      <c r="E218" s="45">
        <v>6300</v>
      </c>
      <c r="F218" s="46">
        <f t="shared" ca="1" si="10"/>
        <v>12600</v>
      </c>
      <c r="G218" s="50"/>
    </row>
    <row r="219" spans="1:7" ht="33.75" x14ac:dyDescent="0.25">
      <c r="A219" s="42">
        <v>44103103</v>
      </c>
      <c r="B219" s="43" t="str">
        <f t="shared" ca="1" si="9"/>
        <v>Tóner para impresoras o fax</v>
      </c>
      <c r="C219" s="42" t="s">
        <v>46</v>
      </c>
      <c r="D219" s="42">
        <v>4</v>
      </c>
      <c r="E219" s="45">
        <v>7000</v>
      </c>
      <c r="F219" s="46">
        <f t="shared" ca="1" si="10"/>
        <v>28000</v>
      </c>
      <c r="G219" s="50"/>
    </row>
    <row r="220" spans="1:7" ht="33.75" x14ac:dyDescent="0.25">
      <c r="A220" s="42">
        <v>44103103</v>
      </c>
      <c r="B220" s="43" t="str">
        <f t="shared" ca="1" si="9"/>
        <v>Tóner para impresoras o fax</v>
      </c>
      <c r="C220" s="42" t="s">
        <v>46</v>
      </c>
      <c r="D220" s="42">
        <v>4</v>
      </c>
      <c r="E220" s="45">
        <v>4750</v>
      </c>
      <c r="F220" s="46">
        <f t="shared" ca="1" si="10"/>
        <v>19000</v>
      </c>
      <c r="G220" s="50"/>
    </row>
    <row r="221" spans="1:7" x14ac:dyDescent="0.25">
      <c r="A221" s="42">
        <v>44103111</v>
      </c>
      <c r="B221" s="43" t="str">
        <f t="shared" ca="1" si="9"/>
        <v>Rollos de tinta</v>
      </c>
      <c r="C221" s="42" t="s">
        <v>46</v>
      </c>
      <c r="D221" s="42">
        <v>3</v>
      </c>
      <c r="E221" s="45">
        <v>55</v>
      </c>
      <c r="F221" s="46">
        <f t="shared" ca="1" si="10"/>
        <v>165</v>
      </c>
      <c r="G221" s="50"/>
    </row>
    <row r="222" spans="1:7" x14ac:dyDescent="0.25">
      <c r="A222" s="50"/>
      <c r="B222" s="50"/>
      <c r="C222" s="50"/>
      <c r="D222" s="50"/>
      <c r="E222" s="54" t="s">
        <v>49</v>
      </c>
      <c r="F222" s="49">
        <f ca="1">SUM(Table37[MONTO TOTAL ESTIMADO])</f>
        <v>825011</v>
      </c>
      <c r="G222" s="50"/>
    </row>
    <row r="223" spans="1:7" ht="17.25" thickBot="1" x14ac:dyDescent="0.3">
      <c r="A223" s="30"/>
      <c r="B223" s="30"/>
      <c r="C223" s="30"/>
      <c r="D223" s="30"/>
      <c r="E223" s="30"/>
      <c r="F223" s="30"/>
      <c r="G223" s="30"/>
    </row>
    <row r="224" spans="1:7" ht="34.5" thickBot="1" x14ac:dyDescent="0.3">
      <c r="A224" s="31" t="s">
        <v>18</v>
      </c>
      <c r="B224" s="31" t="s">
        <v>19</v>
      </c>
      <c r="C224" s="31" t="s">
        <v>20</v>
      </c>
      <c r="D224" s="31" t="s">
        <v>21</v>
      </c>
      <c r="E224" s="31" t="s">
        <v>22</v>
      </c>
      <c r="F224" s="31" t="s">
        <v>23</v>
      </c>
      <c r="G224" s="50"/>
    </row>
    <row r="225" spans="1:7" ht="15.75" thickBot="1" x14ac:dyDescent="0.3">
      <c r="A225" s="33" t="s">
        <v>63</v>
      </c>
      <c r="B225" s="33" t="s">
        <v>64</v>
      </c>
      <c r="C225" s="33" t="s">
        <v>26</v>
      </c>
      <c r="D225" s="33" t="s">
        <v>52</v>
      </c>
      <c r="E225" s="33" t="s">
        <v>53</v>
      </c>
      <c r="F225" s="33"/>
      <c r="G225" s="50"/>
    </row>
    <row r="226" spans="1:7" ht="15.75" thickBot="1" x14ac:dyDescent="0.3">
      <c r="A226" s="34" t="s">
        <v>28</v>
      </c>
      <c r="B226" s="35" t="s">
        <v>29</v>
      </c>
      <c r="C226" s="51">
        <v>44987</v>
      </c>
      <c r="D226" s="34" t="s">
        <v>30</v>
      </c>
      <c r="E226" s="35" t="s">
        <v>31</v>
      </c>
      <c r="F226" s="33" t="s">
        <v>32</v>
      </c>
      <c r="G226" s="50"/>
    </row>
    <row r="227" spans="1:7" ht="15.75" thickBot="1" x14ac:dyDescent="0.3">
      <c r="A227" s="39"/>
      <c r="B227" s="35" t="s">
        <v>33</v>
      </c>
      <c r="C227" s="52">
        <f>IF(C226="","",IF(AND(MONTH(C226)&gt;=1,MONTH(C226)&lt;=3),1,IF(AND(MONTH(C226)&gt;=4,MONTH(C226)&lt;=6),2,IF(AND(MONTH(C226)&gt;=7,MONTH(C226)&lt;=9),3,4))))</f>
        <v>1</v>
      </c>
      <c r="D227" s="39"/>
      <c r="E227" s="35" t="s">
        <v>34</v>
      </c>
      <c r="F227" s="33" t="s">
        <v>35</v>
      </c>
      <c r="G227" s="50"/>
    </row>
    <row r="228" spans="1:7" ht="15.75" thickBot="1" x14ac:dyDescent="0.3">
      <c r="A228" s="39"/>
      <c r="B228" s="35" t="s">
        <v>36</v>
      </c>
      <c r="C228" s="51">
        <v>44994</v>
      </c>
      <c r="D228" s="39"/>
      <c r="E228" s="35" t="s">
        <v>37</v>
      </c>
      <c r="F228" s="33" t="s">
        <v>35</v>
      </c>
      <c r="G228" s="50"/>
    </row>
    <row r="229" spans="1:7" ht="15.75" thickBot="1" x14ac:dyDescent="0.3">
      <c r="A229" s="39"/>
      <c r="B229" s="35" t="s">
        <v>33</v>
      </c>
      <c r="C229" s="52">
        <f>IF(C228="","",IF(AND(MONTH(C228)&gt;=1,MONTH(C228)&lt;=3),1,IF(AND(MONTH(C228)&gt;=4,MONTH(C228)&lt;=6),2,IF(AND(MONTH(C228)&gt;=7,MONTH(C228)&lt;=9),3,4))))</f>
        <v>1</v>
      </c>
      <c r="D229" s="39"/>
      <c r="E229" s="35" t="s">
        <v>38</v>
      </c>
      <c r="F229" s="33" t="s">
        <v>35</v>
      </c>
      <c r="G229" s="50"/>
    </row>
    <row r="230" spans="1:7" ht="15.75" thickBot="1" x14ac:dyDescent="0.3">
      <c r="A230" s="50"/>
      <c r="B230" s="50"/>
      <c r="C230" s="50"/>
      <c r="D230" s="50"/>
      <c r="E230" s="50"/>
      <c r="F230" s="50"/>
      <c r="G230" s="50"/>
    </row>
    <row r="231" spans="1:7" ht="15.75" thickBot="1" x14ac:dyDescent="0.3">
      <c r="A231" s="41" t="s">
        <v>39</v>
      </c>
      <c r="B231" s="41" t="s">
        <v>40</v>
      </c>
      <c r="C231" s="41" t="s">
        <v>41</v>
      </c>
      <c r="D231" s="41" t="s">
        <v>42</v>
      </c>
      <c r="E231" s="41" t="s">
        <v>43</v>
      </c>
      <c r="F231" s="41" t="s">
        <v>44</v>
      </c>
      <c r="G231" s="50"/>
    </row>
    <row r="232" spans="1:7" ht="22.5" x14ac:dyDescent="0.25">
      <c r="A232" s="42">
        <v>53131626</v>
      </c>
      <c r="B232" s="43" t="str">
        <f ca="1">IFERROR(INDEX(UNSPSCDes,MATCH(INDIRECT(ADDRESS(ROW(),COLUMN()-1,4)),UNSPSCCode,0)),"")</f>
        <v>Desinfectante de manos</v>
      </c>
      <c r="C232" s="42" t="s">
        <v>65</v>
      </c>
      <c r="D232" s="42">
        <v>6</v>
      </c>
      <c r="E232" s="45">
        <v>205</v>
      </c>
      <c r="F232" s="46">
        <f ca="1">INDIRECT(ADDRESS(ROW(),COLUMN()-2,4))*INDIRECT(ADDRESS(ROW(),COLUMN()-1,4))</f>
        <v>1230</v>
      </c>
      <c r="G232" s="50"/>
    </row>
    <row r="233" spans="1:7" ht="22.5" x14ac:dyDescent="0.25">
      <c r="A233" s="42">
        <v>53131626</v>
      </c>
      <c r="B233" s="43" t="str">
        <f ca="1">IFERROR(INDEX(UNSPSCDes,MATCH(INDIRECT(ADDRESS(ROW(),COLUMN()-1,4)),UNSPSCCode,0)),"")</f>
        <v>Desinfectante de manos</v>
      </c>
      <c r="C233" s="42" t="s">
        <v>46</v>
      </c>
      <c r="D233" s="42">
        <v>3</v>
      </c>
      <c r="E233" s="45">
        <v>125</v>
      </c>
      <c r="F233" s="46">
        <f ca="1">INDIRECT(ADDRESS(ROW(),COLUMN()-2,4))*INDIRECT(ADDRESS(ROW(),COLUMN()-1,4))</f>
        <v>375</v>
      </c>
      <c r="G233" s="50"/>
    </row>
    <row r="234" spans="1:7" ht="56.25" x14ac:dyDescent="0.25">
      <c r="A234" s="42">
        <v>42131606</v>
      </c>
      <c r="B234" s="43" t="str">
        <f ca="1">IFERROR(INDEX(UNSPSCDes,MATCH(INDIRECT(ADDRESS(ROW(),COLUMN()-1,4)),UNSPSCCode,0)),"")</f>
        <v>Máscaras quirúrgicas o de aislamiento para personal médico</v>
      </c>
      <c r="C234" s="42" t="s">
        <v>65</v>
      </c>
      <c r="D234" s="42">
        <v>2</v>
      </c>
      <c r="E234" s="45">
        <v>135</v>
      </c>
      <c r="F234" s="46">
        <f ca="1">INDIRECT(ADDRESS(ROW(),COLUMN()-2,4))*INDIRECT(ADDRESS(ROW(),COLUMN()-1,4))</f>
        <v>270</v>
      </c>
      <c r="G234" s="50"/>
    </row>
    <row r="235" spans="1:7" x14ac:dyDescent="0.25">
      <c r="A235" s="50"/>
      <c r="B235" s="50"/>
      <c r="C235" s="50"/>
      <c r="D235" s="50"/>
      <c r="E235" s="54" t="s">
        <v>49</v>
      </c>
      <c r="F235" s="49">
        <f ca="1">SUM(Table38[MONTO TOTAL ESTIMADO])</f>
        <v>1875</v>
      </c>
      <c r="G235" s="50"/>
    </row>
    <row r="236" spans="1:7" ht="15.75" thickBot="1" x14ac:dyDescent="0.3">
      <c r="A236" s="50"/>
      <c r="B236" s="50"/>
      <c r="C236" s="50"/>
      <c r="D236" s="50"/>
      <c r="E236" s="55"/>
      <c r="F236" s="56"/>
      <c r="G236" s="57"/>
    </row>
    <row r="237" spans="1:7" ht="34.5" thickBot="1" x14ac:dyDescent="0.3">
      <c r="A237" s="31" t="s">
        <v>18</v>
      </c>
      <c r="B237" s="31" t="s">
        <v>19</v>
      </c>
      <c r="C237" s="31" t="s">
        <v>20</v>
      </c>
      <c r="D237" s="31" t="s">
        <v>21</v>
      </c>
      <c r="E237" s="31" t="s">
        <v>22</v>
      </c>
      <c r="F237" s="31" t="s">
        <v>23</v>
      </c>
      <c r="G237" s="50"/>
    </row>
    <row r="238" spans="1:7" ht="15.75" thickBot="1" x14ac:dyDescent="0.3">
      <c r="A238" s="33" t="s">
        <v>66</v>
      </c>
      <c r="B238" s="33" t="s">
        <v>67</v>
      </c>
      <c r="C238" s="33" t="s">
        <v>26</v>
      </c>
      <c r="D238" s="33" t="s">
        <v>27</v>
      </c>
      <c r="E238" s="33" t="s">
        <v>53</v>
      </c>
      <c r="F238" s="33"/>
      <c r="G238" s="50"/>
    </row>
    <row r="239" spans="1:7" ht="15.75" thickBot="1" x14ac:dyDescent="0.3">
      <c r="A239" s="34" t="s">
        <v>28</v>
      </c>
      <c r="B239" s="35" t="s">
        <v>29</v>
      </c>
      <c r="C239" s="51">
        <v>44986</v>
      </c>
      <c r="D239" s="34" t="s">
        <v>30</v>
      </c>
      <c r="E239" s="35" t="s">
        <v>31</v>
      </c>
      <c r="F239" s="33" t="s">
        <v>32</v>
      </c>
      <c r="G239" s="50"/>
    </row>
    <row r="240" spans="1:7" ht="15.75" thickBot="1" x14ac:dyDescent="0.3">
      <c r="A240" s="39"/>
      <c r="B240" s="35" t="s">
        <v>33</v>
      </c>
      <c r="C240" s="52">
        <f>IF(C239="","",IF(AND(MONTH(C239)&gt;=1,MONTH(C239)&lt;=3),1,IF(AND(MONTH(C239)&gt;=4,MONTH(C239)&lt;=6),2,IF(AND(MONTH(C239)&gt;=7,MONTH(C239)&lt;=9),3,4))))</f>
        <v>1</v>
      </c>
      <c r="D240" s="39"/>
      <c r="E240" s="35" t="s">
        <v>34</v>
      </c>
      <c r="F240" s="33" t="s">
        <v>35</v>
      </c>
      <c r="G240" s="50"/>
    </row>
    <row r="241" spans="1:7" ht="15.75" thickBot="1" x14ac:dyDescent="0.3">
      <c r="A241" s="39"/>
      <c r="B241" s="35" t="s">
        <v>36</v>
      </c>
      <c r="C241" s="51">
        <v>44994</v>
      </c>
      <c r="D241" s="39"/>
      <c r="E241" s="35" t="s">
        <v>37</v>
      </c>
      <c r="F241" s="33" t="s">
        <v>35</v>
      </c>
      <c r="G241" s="50"/>
    </row>
    <row r="242" spans="1:7" ht="15.75" thickBot="1" x14ac:dyDescent="0.3">
      <c r="A242" s="39"/>
      <c r="B242" s="35" t="s">
        <v>33</v>
      </c>
      <c r="C242" s="52">
        <f>IF(C241="","",IF(AND(MONTH(C241)&gt;=1,MONTH(C241)&lt;=3),1,IF(AND(MONTH(C241)&gt;=4,MONTH(C241)&lt;=6),2,IF(AND(MONTH(C241)&gt;=7,MONTH(C241)&lt;=9),3,4))))</f>
        <v>1</v>
      </c>
      <c r="D242" s="39"/>
      <c r="E242" s="35" t="s">
        <v>38</v>
      </c>
      <c r="F242" s="33" t="s">
        <v>35</v>
      </c>
      <c r="G242" s="50"/>
    </row>
    <row r="243" spans="1:7" ht="15.75" thickBot="1" x14ac:dyDescent="0.3">
      <c r="A243" s="50"/>
      <c r="B243" s="50"/>
      <c r="C243" s="50"/>
      <c r="D243" s="50"/>
      <c r="E243" s="50"/>
      <c r="F243" s="50"/>
      <c r="G243" s="50"/>
    </row>
    <row r="244" spans="1:7" ht="15.75" thickBot="1" x14ac:dyDescent="0.3">
      <c r="A244" s="41" t="s">
        <v>39</v>
      </c>
      <c r="B244" s="41" t="s">
        <v>40</v>
      </c>
      <c r="C244" s="41" t="s">
        <v>41</v>
      </c>
      <c r="D244" s="41" t="s">
        <v>42</v>
      </c>
      <c r="E244" s="41" t="s">
        <v>43</v>
      </c>
      <c r="F244" s="41" t="s">
        <v>44</v>
      </c>
      <c r="G244" s="50"/>
    </row>
    <row r="245" spans="1:7" x14ac:dyDescent="0.25">
      <c r="A245" s="42">
        <v>14111704</v>
      </c>
      <c r="B245" s="43" t="str">
        <f ca="1">IFERROR(INDEX(UNSPSCDes,MATCH(INDIRECT(ADDRESS(ROW(),COLUMN()-1,4)),UNSPSCCode,0)),"")</f>
        <v>Papel higiénico</v>
      </c>
      <c r="C245" s="42" t="s">
        <v>47</v>
      </c>
      <c r="D245" s="42">
        <v>145</v>
      </c>
      <c r="E245" s="45">
        <v>1440</v>
      </c>
      <c r="F245" s="46">
        <f ca="1">INDIRECT(ADDRESS(ROW(),COLUMN()-2,4))*INDIRECT(ADDRESS(ROW(),COLUMN()-1,4))</f>
        <v>208800</v>
      </c>
      <c r="G245" s="50"/>
    </row>
    <row r="246" spans="1:7" x14ac:dyDescent="0.25">
      <c r="A246" s="42">
        <v>14111704</v>
      </c>
      <c r="B246" s="43" t="str">
        <f ca="1">IFERROR(INDEX(UNSPSCDes,MATCH(INDIRECT(ADDRESS(ROW(),COLUMN()-1,4)),UNSPSCCode,0)),"")</f>
        <v>Papel higiénico</v>
      </c>
      <c r="C246" s="42" t="s">
        <v>47</v>
      </c>
      <c r="D246" s="42">
        <v>95</v>
      </c>
      <c r="E246" s="45">
        <v>3250</v>
      </c>
      <c r="F246" s="46">
        <f ca="1">INDIRECT(ADDRESS(ROW(),COLUMN()-2,4))*INDIRECT(ADDRESS(ROW(),COLUMN()-1,4))</f>
        <v>308750</v>
      </c>
      <c r="G246" s="50"/>
    </row>
    <row r="247" spans="1:7" x14ac:dyDescent="0.25">
      <c r="A247" s="42">
        <v>52121602</v>
      </c>
      <c r="B247" s="43" t="str">
        <f ca="1">IFERROR(INDEX(UNSPSCDes,MATCH(INDIRECT(ADDRESS(ROW(),COLUMN()-1,4)),UNSPSCCode,0)),"")</f>
        <v>Servilletas</v>
      </c>
      <c r="C247" s="42" t="s">
        <v>68</v>
      </c>
      <c r="D247" s="42">
        <v>10</v>
      </c>
      <c r="E247" s="45">
        <v>950</v>
      </c>
      <c r="F247" s="46">
        <f ca="1">INDIRECT(ADDRESS(ROW(),COLUMN()-2,4))*INDIRECT(ADDRESS(ROW(),COLUMN()-1,4))</f>
        <v>9500</v>
      </c>
      <c r="G247" s="50"/>
    </row>
    <row r="248" spans="1:7" x14ac:dyDescent="0.25">
      <c r="A248" s="42">
        <v>52121602</v>
      </c>
      <c r="B248" s="43" t="str">
        <f ca="1">IFERROR(INDEX(UNSPSCDes,MATCH(INDIRECT(ADDRESS(ROW(),COLUMN()-1,4)),UNSPSCCode,0)),"")</f>
        <v>Servilletas</v>
      </c>
      <c r="C248" s="42" t="s">
        <v>47</v>
      </c>
      <c r="D248" s="42">
        <v>17</v>
      </c>
      <c r="E248" s="45">
        <v>115</v>
      </c>
      <c r="F248" s="46">
        <f ca="1">INDIRECT(ADDRESS(ROW(),COLUMN()-2,4))*INDIRECT(ADDRESS(ROW(),COLUMN()-1,4))</f>
        <v>1955</v>
      </c>
      <c r="G248" s="50"/>
    </row>
    <row r="249" spans="1:7" x14ac:dyDescent="0.25">
      <c r="A249" s="50"/>
      <c r="B249" s="50"/>
      <c r="C249" s="50"/>
      <c r="D249" s="50"/>
      <c r="E249" s="54" t="s">
        <v>49</v>
      </c>
      <c r="F249" s="49">
        <f ca="1">SUM(Table39[MONTO TOTAL ESTIMADO])</f>
        <v>529005</v>
      </c>
      <c r="G249" s="50"/>
    </row>
    <row r="250" spans="1:7" ht="15.75" thickBot="1" x14ac:dyDescent="0.3">
      <c r="A250" s="50"/>
      <c r="B250" s="50"/>
      <c r="C250" s="50"/>
      <c r="D250" s="50"/>
      <c r="E250" s="58"/>
      <c r="F250" s="59"/>
      <c r="G250" s="57"/>
    </row>
    <row r="251" spans="1:7" ht="34.5" thickBot="1" x14ac:dyDescent="0.3">
      <c r="A251" s="31" t="s">
        <v>18</v>
      </c>
      <c r="B251" s="31" t="s">
        <v>19</v>
      </c>
      <c r="C251" s="31" t="s">
        <v>20</v>
      </c>
      <c r="D251" s="31" t="s">
        <v>21</v>
      </c>
      <c r="E251" s="31" t="s">
        <v>22</v>
      </c>
      <c r="F251" s="31" t="s">
        <v>23</v>
      </c>
      <c r="G251" s="50"/>
    </row>
    <row r="252" spans="1:7" ht="15.75" thickBot="1" x14ac:dyDescent="0.3">
      <c r="A252" s="33" t="s">
        <v>69</v>
      </c>
      <c r="B252" s="33" t="s">
        <v>70</v>
      </c>
      <c r="C252" s="33" t="s">
        <v>26</v>
      </c>
      <c r="D252" s="33" t="s">
        <v>27</v>
      </c>
      <c r="E252" s="33" t="s">
        <v>53</v>
      </c>
      <c r="F252" s="33"/>
      <c r="G252" s="50"/>
    </row>
    <row r="253" spans="1:7" ht="15.75" thickBot="1" x14ac:dyDescent="0.3">
      <c r="A253" s="34" t="s">
        <v>28</v>
      </c>
      <c r="B253" s="35" t="s">
        <v>29</v>
      </c>
      <c r="C253" s="51">
        <v>44986</v>
      </c>
      <c r="D253" s="34" t="s">
        <v>30</v>
      </c>
      <c r="E253" s="35" t="s">
        <v>31</v>
      </c>
      <c r="F253" s="33" t="s">
        <v>32</v>
      </c>
      <c r="G253" s="50"/>
    </row>
    <row r="254" spans="1:7" ht="15.75" thickBot="1" x14ac:dyDescent="0.3">
      <c r="A254" s="39"/>
      <c r="B254" s="35" t="s">
        <v>33</v>
      </c>
      <c r="C254" s="52">
        <f>IF(C253="","",IF(AND(MONTH(C253)&gt;=1,MONTH(C253)&lt;=3),1,IF(AND(MONTH(C253)&gt;=4,MONTH(C253)&lt;=6),2,IF(AND(MONTH(C253)&gt;=7,MONTH(C253)&lt;=9),3,4))))</f>
        <v>1</v>
      </c>
      <c r="D254" s="39"/>
      <c r="E254" s="35" t="s">
        <v>34</v>
      </c>
      <c r="F254" s="33" t="s">
        <v>35</v>
      </c>
      <c r="G254" s="50"/>
    </row>
    <row r="255" spans="1:7" ht="15.75" thickBot="1" x14ac:dyDescent="0.3">
      <c r="A255" s="39"/>
      <c r="B255" s="35" t="s">
        <v>36</v>
      </c>
      <c r="C255" s="51">
        <v>44993</v>
      </c>
      <c r="D255" s="39"/>
      <c r="E255" s="35" t="s">
        <v>37</v>
      </c>
      <c r="F255" s="33" t="s">
        <v>35</v>
      </c>
      <c r="G255" s="50"/>
    </row>
    <row r="256" spans="1:7" ht="15.75" thickBot="1" x14ac:dyDescent="0.3">
      <c r="A256" s="39"/>
      <c r="B256" s="35" t="s">
        <v>33</v>
      </c>
      <c r="C256" s="52">
        <f>IF(C255="","",IF(AND(MONTH(C255)&gt;=1,MONTH(C255)&lt;=3),1,IF(AND(MONTH(C255)&gt;=4,MONTH(C255)&lt;=6),2,IF(AND(MONTH(C255)&gt;=7,MONTH(C255)&lt;=9),3,4))))</f>
        <v>1</v>
      </c>
      <c r="D256" s="39"/>
      <c r="E256" s="35" t="s">
        <v>38</v>
      </c>
      <c r="F256" s="33" t="s">
        <v>35</v>
      </c>
      <c r="G256" s="50"/>
    </row>
    <row r="257" spans="1:7" ht="15.75" thickBot="1" x14ac:dyDescent="0.3">
      <c r="A257" s="50"/>
      <c r="B257" s="50"/>
      <c r="C257" s="50"/>
      <c r="D257" s="50"/>
      <c r="E257" s="50"/>
      <c r="F257" s="50"/>
      <c r="G257" s="50"/>
    </row>
    <row r="258" spans="1:7" ht="15.75" thickBot="1" x14ac:dyDescent="0.3">
      <c r="A258" s="41" t="s">
        <v>39</v>
      </c>
      <c r="B258" s="41" t="s">
        <v>40</v>
      </c>
      <c r="C258" s="41" t="s">
        <v>41</v>
      </c>
      <c r="D258" s="41" t="s">
        <v>42</v>
      </c>
      <c r="E258" s="41" t="s">
        <v>43</v>
      </c>
      <c r="F258" s="41" t="s">
        <v>44</v>
      </c>
      <c r="G258" s="50"/>
    </row>
    <row r="259" spans="1:7" ht="33.75" x14ac:dyDescent="0.25">
      <c r="A259" s="42">
        <v>26121704</v>
      </c>
      <c r="B259" s="43" t="str">
        <f t="shared" ref="B259:B286" ca="1" si="11">IFERROR(INDEX(UNSPSCDes,MATCH(INDIRECT(ADDRESS(ROW(),COLUMN()-1,4)),UNSPSCCode,0)),"")</f>
        <v>Arnés de alambrado especial</v>
      </c>
      <c r="C259" s="42" t="s">
        <v>46</v>
      </c>
      <c r="D259" s="42">
        <v>8</v>
      </c>
      <c r="E259" s="45">
        <v>90</v>
      </c>
      <c r="F259" s="46">
        <f t="shared" ref="F259:F286" ca="1" si="12">INDIRECT(ADDRESS(ROW(),COLUMN()-2,4))*INDIRECT(ADDRESS(ROW(),COLUMN()-1,4))</f>
        <v>720</v>
      </c>
      <c r="G259" s="50"/>
    </row>
    <row r="260" spans="1:7" ht="33.75" x14ac:dyDescent="0.25">
      <c r="A260" s="42">
        <v>26121704</v>
      </c>
      <c r="B260" s="43" t="str">
        <f t="shared" ca="1" si="11"/>
        <v>Arnés de alambrado especial</v>
      </c>
      <c r="C260" s="42" t="s">
        <v>46</v>
      </c>
      <c r="D260" s="42">
        <v>8</v>
      </c>
      <c r="E260" s="45">
        <v>340</v>
      </c>
      <c r="F260" s="46">
        <f t="shared" ca="1" si="12"/>
        <v>2720</v>
      </c>
      <c r="G260" s="50"/>
    </row>
    <row r="261" spans="1:7" ht="22.5" x14ac:dyDescent="0.25">
      <c r="A261" s="42">
        <v>26111717</v>
      </c>
      <c r="B261" s="43" t="str">
        <f t="shared" ca="1" si="11"/>
        <v>Baterías del manganeso</v>
      </c>
      <c r="C261" s="42" t="s">
        <v>71</v>
      </c>
      <c r="D261" s="42">
        <v>16</v>
      </c>
      <c r="E261" s="45">
        <v>118</v>
      </c>
      <c r="F261" s="46">
        <f t="shared" ca="1" si="12"/>
        <v>1888</v>
      </c>
      <c r="G261" s="50"/>
    </row>
    <row r="262" spans="1:7" ht="22.5" x14ac:dyDescent="0.25">
      <c r="A262" s="42">
        <v>26111717</v>
      </c>
      <c r="B262" s="43" t="str">
        <f t="shared" ca="1" si="11"/>
        <v>Baterías del manganeso</v>
      </c>
      <c r="C262" s="42" t="s">
        <v>46</v>
      </c>
      <c r="D262" s="42">
        <v>14</v>
      </c>
      <c r="E262" s="45">
        <v>118</v>
      </c>
      <c r="F262" s="46">
        <f t="shared" ca="1" si="12"/>
        <v>1652</v>
      </c>
      <c r="G262" s="50"/>
    </row>
    <row r="263" spans="1:7" ht="22.5" x14ac:dyDescent="0.25">
      <c r="A263" s="42">
        <v>26111717</v>
      </c>
      <c r="B263" s="43" t="str">
        <f t="shared" ca="1" si="11"/>
        <v>Baterías del manganeso</v>
      </c>
      <c r="C263" s="42" t="s">
        <v>46</v>
      </c>
      <c r="D263" s="42">
        <v>24</v>
      </c>
      <c r="E263" s="45">
        <v>190</v>
      </c>
      <c r="F263" s="46">
        <f t="shared" ca="1" si="12"/>
        <v>4560</v>
      </c>
      <c r="G263" s="50"/>
    </row>
    <row r="264" spans="1:7" x14ac:dyDescent="0.25">
      <c r="A264" s="42">
        <v>31211904</v>
      </c>
      <c r="B264" s="43" t="str">
        <f t="shared" ca="1" si="11"/>
        <v>Brochas</v>
      </c>
      <c r="C264" s="42" t="s">
        <v>46</v>
      </c>
      <c r="D264" s="42">
        <v>6</v>
      </c>
      <c r="E264" s="45">
        <v>150</v>
      </c>
      <c r="F264" s="46">
        <f t="shared" ca="1" si="12"/>
        <v>900</v>
      </c>
      <c r="G264" s="50"/>
    </row>
    <row r="265" spans="1:7" ht="22.5" x14ac:dyDescent="0.25">
      <c r="A265" s="42">
        <v>32121501</v>
      </c>
      <c r="B265" s="43" t="str">
        <f t="shared" ca="1" si="11"/>
        <v>Capacitores fijos</v>
      </c>
      <c r="C265" s="42" t="s">
        <v>46</v>
      </c>
      <c r="D265" s="42">
        <v>7</v>
      </c>
      <c r="E265" s="45">
        <v>325</v>
      </c>
      <c r="F265" s="46">
        <f t="shared" ca="1" si="12"/>
        <v>2275</v>
      </c>
      <c r="G265" s="50"/>
    </row>
    <row r="266" spans="1:7" x14ac:dyDescent="0.25">
      <c r="A266" s="42">
        <v>31162402</v>
      </c>
      <c r="B266" s="43" t="str">
        <f t="shared" ca="1" si="11"/>
        <v>Cerraduras</v>
      </c>
      <c r="C266" s="42" t="s">
        <v>46</v>
      </c>
      <c r="D266" s="42">
        <v>2</v>
      </c>
      <c r="E266" s="45">
        <v>3455</v>
      </c>
      <c r="F266" s="46">
        <f t="shared" ca="1" si="12"/>
        <v>6910</v>
      </c>
      <c r="G266" s="50"/>
    </row>
    <row r="267" spans="1:7" x14ac:dyDescent="0.25">
      <c r="A267" s="42">
        <v>39121529</v>
      </c>
      <c r="B267" s="43" t="str">
        <f t="shared" ca="1" si="11"/>
        <v>Contactores</v>
      </c>
      <c r="C267" s="42" t="s">
        <v>46</v>
      </c>
      <c r="D267" s="42">
        <v>5</v>
      </c>
      <c r="E267" s="45">
        <v>495</v>
      </c>
      <c r="F267" s="46">
        <f t="shared" ca="1" si="12"/>
        <v>2475</v>
      </c>
      <c r="G267" s="50"/>
    </row>
    <row r="268" spans="1:7" x14ac:dyDescent="0.25">
      <c r="A268" s="42">
        <v>39121529</v>
      </c>
      <c r="B268" s="43" t="str">
        <f t="shared" ca="1" si="11"/>
        <v>Contactores</v>
      </c>
      <c r="C268" s="42" t="s">
        <v>46</v>
      </c>
      <c r="D268" s="42">
        <v>5</v>
      </c>
      <c r="E268" s="45">
        <v>606</v>
      </c>
      <c r="F268" s="46">
        <f t="shared" ca="1" si="12"/>
        <v>3030</v>
      </c>
      <c r="G268" s="50"/>
    </row>
    <row r="269" spans="1:7" ht="22.5" x14ac:dyDescent="0.25">
      <c r="A269" s="42">
        <v>31211508</v>
      </c>
      <c r="B269" s="43" t="str">
        <f t="shared" ca="1" si="11"/>
        <v>Pinturas acrílicas</v>
      </c>
      <c r="C269" s="42" t="s">
        <v>46</v>
      </c>
      <c r="D269" s="42">
        <v>1</v>
      </c>
      <c r="E269" s="45">
        <v>9750</v>
      </c>
      <c r="F269" s="46">
        <f t="shared" ca="1" si="12"/>
        <v>9750</v>
      </c>
      <c r="G269" s="50"/>
    </row>
    <row r="270" spans="1:7" ht="22.5" x14ac:dyDescent="0.25">
      <c r="A270" s="42">
        <v>39101605</v>
      </c>
      <c r="B270" s="43" t="str">
        <f t="shared" ca="1" si="11"/>
        <v>Lámparas fluorescentes</v>
      </c>
      <c r="C270" s="42" t="s">
        <v>46</v>
      </c>
      <c r="D270" s="42">
        <v>50</v>
      </c>
      <c r="E270" s="45">
        <v>2160</v>
      </c>
      <c r="F270" s="46">
        <f t="shared" ca="1" si="12"/>
        <v>108000</v>
      </c>
      <c r="G270" s="50"/>
    </row>
    <row r="271" spans="1:7" x14ac:dyDescent="0.25">
      <c r="A271" s="42">
        <v>40141702</v>
      </c>
      <c r="B271" s="43" t="str">
        <f t="shared" ca="1" si="11"/>
        <v>Grifos</v>
      </c>
      <c r="C271" s="42" t="s">
        <v>46</v>
      </c>
      <c r="D271" s="42">
        <v>2</v>
      </c>
      <c r="E271" s="45">
        <v>2200</v>
      </c>
      <c r="F271" s="46">
        <f t="shared" ca="1" si="12"/>
        <v>4400</v>
      </c>
      <c r="G271" s="50"/>
    </row>
    <row r="272" spans="1:7" ht="22.5" x14ac:dyDescent="0.25">
      <c r="A272" s="42">
        <v>31211906</v>
      </c>
      <c r="B272" s="43" t="str">
        <f t="shared" ca="1" si="11"/>
        <v>Rodillos de pintar</v>
      </c>
      <c r="C272" s="42" t="s">
        <v>46</v>
      </c>
      <c r="D272" s="42">
        <v>6</v>
      </c>
      <c r="E272" s="45">
        <v>295</v>
      </c>
      <c r="F272" s="46">
        <f t="shared" ca="1" si="12"/>
        <v>1770</v>
      </c>
      <c r="G272" s="50"/>
    </row>
    <row r="273" spans="1:7" ht="45" x14ac:dyDescent="0.25">
      <c r="A273" s="42">
        <v>26121519</v>
      </c>
      <c r="B273" s="43" t="str">
        <f t="shared" ca="1" si="11"/>
        <v>Alambre de aluminio revestido de cobre</v>
      </c>
      <c r="C273" s="42" t="s">
        <v>46</v>
      </c>
      <c r="D273" s="42">
        <v>3</v>
      </c>
      <c r="E273" s="45">
        <v>12862</v>
      </c>
      <c r="F273" s="46">
        <f t="shared" ca="1" si="12"/>
        <v>38586</v>
      </c>
      <c r="G273" s="50"/>
    </row>
    <row r="274" spans="1:7" ht="45" x14ac:dyDescent="0.25">
      <c r="A274" s="42">
        <v>26121519</v>
      </c>
      <c r="B274" s="43" t="str">
        <f t="shared" ca="1" si="11"/>
        <v>Alambre de aluminio revestido de cobre</v>
      </c>
      <c r="C274" s="42" t="s">
        <v>46</v>
      </c>
      <c r="D274" s="42">
        <v>3</v>
      </c>
      <c r="E274" s="45">
        <v>5980</v>
      </c>
      <c r="F274" s="46">
        <f t="shared" ca="1" si="12"/>
        <v>17940</v>
      </c>
      <c r="G274" s="50"/>
    </row>
    <row r="275" spans="1:7" x14ac:dyDescent="0.25">
      <c r="A275" s="42">
        <v>31201501</v>
      </c>
      <c r="B275" s="43" t="str">
        <f t="shared" ca="1" si="11"/>
        <v>Cinta de ductos</v>
      </c>
      <c r="C275" s="42" t="s">
        <v>46</v>
      </c>
      <c r="D275" s="42">
        <v>5</v>
      </c>
      <c r="E275" s="45">
        <v>200</v>
      </c>
      <c r="F275" s="46">
        <f t="shared" ca="1" si="12"/>
        <v>1000</v>
      </c>
      <c r="G275" s="50"/>
    </row>
    <row r="276" spans="1:7" x14ac:dyDescent="0.25">
      <c r="A276" s="42">
        <v>31201501</v>
      </c>
      <c r="B276" s="43" t="str">
        <f t="shared" ca="1" si="11"/>
        <v>Cinta de ductos</v>
      </c>
      <c r="C276" s="42" t="s">
        <v>46</v>
      </c>
      <c r="D276" s="42">
        <v>15</v>
      </c>
      <c r="E276" s="45">
        <v>1235</v>
      </c>
      <c r="F276" s="46">
        <f t="shared" ca="1" si="12"/>
        <v>18525</v>
      </c>
      <c r="G276" s="50"/>
    </row>
    <row r="277" spans="1:7" ht="22.5" x14ac:dyDescent="0.25">
      <c r="A277" s="42">
        <v>39101701</v>
      </c>
      <c r="B277" s="43" t="str">
        <f t="shared" ca="1" si="11"/>
        <v>Tubos fluorescentes</v>
      </c>
      <c r="C277" s="42" t="s">
        <v>46</v>
      </c>
      <c r="D277" s="42">
        <v>100</v>
      </c>
      <c r="E277" s="45">
        <v>250</v>
      </c>
      <c r="F277" s="46">
        <f t="shared" ca="1" si="12"/>
        <v>25000</v>
      </c>
      <c r="G277" s="50"/>
    </row>
    <row r="278" spans="1:7" ht="22.5" x14ac:dyDescent="0.25">
      <c r="A278" s="42">
        <v>39101701</v>
      </c>
      <c r="B278" s="43" t="str">
        <f t="shared" ca="1" si="11"/>
        <v>Tubos fluorescentes</v>
      </c>
      <c r="C278" s="42" t="s">
        <v>46</v>
      </c>
      <c r="D278" s="42">
        <v>100</v>
      </c>
      <c r="E278" s="45">
        <v>325</v>
      </c>
      <c r="F278" s="46">
        <f t="shared" ca="1" si="12"/>
        <v>32500</v>
      </c>
      <c r="G278" s="50"/>
    </row>
    <row r="279" spans="1:7" ht="22.5" x14ac:dyDescent="0.25">
      <c r="A279" s="42">
        <v>46181507</v>
      </c>
      <c r="B279" s="43" t="str">
        <f t="shared" ca="1" si="11"/>
        <v>Chalecos de seguridad</v>
      </c>
      <c r="C279" s="42" t="s">
        <v>46</v>
      </c>
      <c r="D279" s="42">
        <v>25</v>
      </c>
      <c r="E279" s="45">
        <v>2000</v>
      </c>
      <c r="F279" s="46">
        <f t="shared" ca="1" si="12"/>
        <v>50000</v>
      </c>
      <c r="G279" s="50"/>
    </row>
    <row r="280" spans="1:7" x14ac:dyDescent="0.25">
      <c r="A280" s="42">
        <v>60131105</v>
      </c>
      <c r="B280" s="43" t="str">
        <f t="shared" ca="1" si="11"/>
        <v>Silbatos</v>
      </c>
      <c r="C280" s="42" t="s">
        <v>46</v>
      </c>
      <c r="D280" s="42">
        <v>85</v>
      </c>
      <c r="E280" s="45">
        <v>366</v>
      </c>
      <c r="F280" s="46">
        <f t="shared" ca="1" si="12"/>
        <v>31110</v>
      </c>
      <c r="G280" s="50"/>
    </row>
    <row r="281" spans="1:7" x14ac:dyDescent="0.25">
      <c r="A281" s="42">
        <v>46171606</v>
      </c>
      <c r="B281" s="43" t="str">
        <f t="shared" ca="1" si="11"/>
        <v>Sirenas</v>
      </c>
      <c r="C281" s="42" t="s">
        <v>46</v>
      </c>
      <c r="D281" s="42">
        <v>2</v>
      </c>
      <c r="E281" s="45">
        <v>3100</v>
      </c>
      <c r="F281" s="46">
        <f t="shared" ca="1" si="12"/>
        <v>6200</v>
      </c>
      <c r="G281" s="50"/>
    </row>
    <row r="282" spans="1:7" x14ac:dyDescent="0.25">
      <c r="A282" s="42">
        <v>25172906</v>
      </c>
      <c r="B282" s="43" t="str">
        <f t="shared" ca="1" si="11"/>
        <v>Reflectores</v>
      </c>
      <c r="C282" s="42" t="s">
        <v>46</v>
      </c>
      <c r="D282" s="42">
        <v>3</v>
      </c>
      <c r="E282" s="45">
        <v>2000</v>
      </c>
      <c r="F282" s="46">
        <f t="shared" ca="1" si="12"/>
        <v>6000</v>
      </c>
      <c r="G282" s="50"/>
    </row>
    <row r="283" spans="1:7" ht="22.5" x14ac:dyDescent="0.25">
      <c r="A283" s="42">
        <v>26111704</v>
      </c>
      <c r="B283" s="43" t="str">
        <f t="shared" ca="1" si="11"/>
        <v>Cargadores de baterías</v>
      </c>
      <c r="C283" s="42" t="s">
        <v>46</v>
      </c>
      <c r="D283" s="42">
        <v>6</v>
      </c>
      <c r="E283" s="45">
        <v>1000</v>
      </c>
      <c r="F283" s="46">
        <f t="shared" ca="1" si="12"/>
        <v>6000</v>
      </c>
      <c r="G283" s="50"/>
    </row>
    <row r="284" spans="1:7" ht="56.25" x14ac:dyDescent="0.25">
      <c r="A284" s="42">
        <v>47121702</v>
      </c>
      <c r="B284" s="43" t="str">
        <f t="shared" ca="1" si="11"/>
        <v>Contenedores de desperdicios o revestimientos rígidos</v>
      </c>
      <c r="C284" s="42" t="s">
        <v>46</v>
      </c>
      <c r="D284" s="42">
        <v>8</v>
      </c>
      <c r="E284" s="45">
        <v>450</v>
      </c>
      <c r="F284" s="46">
        <f t="shared" ca="1" si="12"/>
        <v>3600</v>
      </c>
      <c r="G284" s="50"/>
    </row>
    <row r="285" spans="1:7" ht="22.5" x14ac:dyDescent="0.25">
      <c r="A285" s="42">
        <v>26111704</v>
      </c>
      <c r="B285" s="43" t="str">
        <f t="shared" ca="1" si="11"/>
        <v>Cargadores de baterías</v>
      </c>
      <c r="C285" s="42" t="s">
        <v>46</v>
      </c>
      <c r="D285" s="42">
        <v>1</v>
      </c>
      <c r="E285" s="45">
        <v>3000</v>
      </c>
      <c r="F285" s="46">
        <f t="shared" ca="1" si="12"/>
        <v>3000</v>
      </c>
      <c r="G285" s="50"/>
    </row>
    <row r="286" spans="1:7" ht="22.5" x14ac:dyDescent="0.25">
      <c r="A286" s="42">
        <v>23171508</v>
      </c>
      <c r="B286" s="43" t="str">
        <f t="shared" ca="1" si="11"/>
        <v>Máquinas de soldar</v>
      </c>
      <c r="C286" s="42" t="s">
        <v>46</v>
      </c>
      <c r="D286" s="42">
        <v>1</v>
      </c>
      <c r="E286" s="45">
        <v>10000</v>
      </c>
      <c r="F286" s="46">
        <f t="shared" ca="1" si="12"/>
        <v>10000</v>
      </c>
      <c r="G286" s="50"/>
    </row>
    <row r="287" spans="1:7" x14ac:dyDescent="0.25">
      <c r="A287" s="50"/>
      <c r="B287" s="50"/>
      <c r="C287" s="50"/>
      <c r="D287" s="50"/>
      <c r="E287" s="54" t="s">
        <v>49</v>
      </c>
      <c r="F287" s="49">
        <f ca="1">SUM(Table310[MONTO TOTAL ESTIMADO])</f>
        <v>400511</v>
      </c>
      <c r="G287" s="50"/>
    </row>
    <row r="288" spans="1:7" ht="15.75" thickBot="1" x14ac:dyDescent="0.3">
      <c r="A288" s="50"/>
      <c r="B288" s="50"/>
      <c r="C288" s="50"/>
      <c r="D288" s="50"/>
      <c r="E288" s="55"/>
      <c r="F288" s="60"/>
      <c r="G288" s="57"/>
    </row>
    <row r="289" spans="1:7" ht="34.5" thickBot="1" x14ac:dyDescent="0.3">
      <c r="A289" s="31" t="s">
        <v>18</v>
      </c>
      <c r="B289" s="31" t="s">
        <v>19</v>
      </c>
      <c r="C289" s="31" t="s">
        <v>20</v>
      </c>
      <c r="D289" s="31" t="s">
        <v>21</v>
      </c>
      <c r="E289" s="31" t="s">
        <v>22</v>
      </c>
      <c r="F289" s="31" t="s">
        <v>23</v>
      </c>
      <c r="G289" s="50"/>
    </row>
    <row r="290" spans="1:7" ht="15.75" thickBot="1" x14ac:dyDescent="0.3">
      <c r="A290" s="33" t="s">
        <v>63</v>
      </c>
      <c r="B290" s="33" t="s">
        <v>64</v>
      </c>
      <c r="C290" s="33" t="s">
        <v>26</v>
      </c>
      <c r="D290" s="33" t="s">
        <v>52</v>
      </c>
      <c r="E290" s="33" t="s">
        <v>53</v>
      </c>
      <c r="F290" s="33"/>
      <c r="G290" s="50"/>
    </row>
    <row r="291" spans="1:7" ht="15.75" thickBot="1" x14ac:dyDescent="0.3">
      <c r="A291" s="34" t="s">
        <v>28</v>
      </c>
      <c r="B291" s="35" t="s">
        <v>29</v>
      </c>
      <c r="C291" s="51">
        <v>44991</v>
      </c>
      <c r="D291" s="34" t="s">
        <v>30</v>
      </c>
      <c r="E291" s="35" t="s">
        <v>31</v>
      </c>
      <c r="F291" s="33" t="s">
        <v>32</v>
      </c>
      <c r="G291" s="50"/>
    </row>
    <row r="292" spans="1:7" ht="15.75" thickBot="1" x14ac:dyDescent="0.3">
      <c r="A292" s="39"/>
      <c r="B292" s="35" t="s">
        <v>33</v>
      </c>
      <c r="C292" s="52">
        <f>IF(C291="","",IF(AND(MONTH(C291)&gt;=1,MONTH(C291)&lt;=3),1,IF(AND(MONTH(C291)&gt;=4,MONTH(C291)&lt;=6),2,IF(AND(MONTH(C291)&gt;=7,MONTH(C291)&lt;=9),3,4))))</f>
        <v>1</v>
      </c>
      <c r="D292" s="39"/>
      <c r="E292" s="35" t="s">
        <v>34</v>
      </c>
      <c r="F292" s="33" t="s">
        <v>35</v>
      </c>
      <c r="G292" s="50"/>
    </row>
    <row r="293" spans="1:7" ht="15.75" thickBot="1" x14ac:dyDescent="0.3">
      <c r="A293" s="39"/>
      <c r="B293" s="35" t="s">
        <v>36</v>
      </c>
      <c r="C293" s="51">
        <v>44994</v>
      </c>
      <c r="D293" s="39"/>
      <c r="E293" s="35" t="s">
        <v>37</v>
      </c>
      <c r="F293" s="33" t="s">
        <v>35</v>
      </c>
      <c r="G293" s="50"/>
    </row>
    <row r="294" spans="1:7" ht="15.75" thickBot="1" x14ac:dyDescent="0.3">
      <c r="A294" s="39"/>
      <c r="B294" s="35" t="s">
        <v>33</v>
      </c>
      <c r="C294" s="52">
        <f>IF(C293="","",IF(AND(MONTH(C293)&gt;=1,MONTH(C293)&lt;=3),1,IF(AND(MONTH(C293)&gt;=4,MONTH(C293)&lt;=6),2,IF(AND(MONTH(C293)&gt;=7,MONTH(C293)&lt;=9),3,4))))</f>
        <v>1</v>
      </c>
      <c r="D294" s="39"/>
      <c r="E294" s="35" t="s">
        <v>38</v>
      </c>
      <c r="F294" s="33" t="s">
        <v>35</v>
      </c>
      <c r="G294" s="50"/>
    </row>
    <row r="295" spans="1:7" ht="15.75" thickBot="1" x14ac:dyDescent="0.3">
      <c r="A295" s="50"/>
      <c r="B295" s="50"/>
      <c r="C295" s="50"/>
      <c r="D295" s="50"/>
      <c r="E295" s="50"/>
      <c r="F295" s="50"/>
      <c r="G295" s="50"/>
    </row>
    <row r="296" spans="1:7" ht="15.75" thickBot="1" x14ac:dyDescent="0.3">
      <c r="A296" s="41" t="s">
        <v>39</v>
      </c>
      <c r="B296" s="41" t="s">
        <v>40</v>
      </c>
      <c r="C296" s="41" t="s">
        <v>41</v>
      </c>
      <c r="D296" s="41" t="s">
        <v>42</v>
      </c>
      <c r="E296" s="41" t="s">
        <v>43</v>
      </c>
      <c r="F296" s="41" t="s">
        <v>44</v>
      </c>
      <c r="G296" s="50"/>
    </row>
    <row r="297" spans="1:7" ht="22.5" x14ac:dyDescent="0.25">
      <c r="A297" s="42">
        <v>53131626</v>
      </c>
      <c r="B297" s="43" t="str">
        <f ca="1">IFERROR(INDEX(UNSPSCDes,MATCH(INDIRECT(ADDRESS(ROW(),COLUMN()-1,4)),UNSPSCCode,0)),"")</f>
        <v>Desinfectante de manos</v>
      </c>
      <c r="C297" s="42" t="s">
        <v>71</v>
      </c>
      <c r="D297" s="42">
        <v>30</v>
      </c>
      <c r="E297" s="45">
        <v>120</v>
      </c>
      <c r="F297" s="46">
        <f ca="1">INDIRECT(ADDRESS(ROW(),COLUMN()-2,4))*INDIRECT(ADDRESS(ROW(),COLUMN()-1,4))</f>
        <v>3600</v>
      </c>
      <c r="G297" s="50"/>
    </row>
    <row r="298" spans="1:7" ht="22.5" x14ac:dyDescent="0.25">
      <c r="A298" s="42">
        <v>53131626</v>
      </c>
      <c r="B298" s="43" t="str">
        <f ca="1">IFERROR(INDEX(UNSPSCDes,MATCH(INDIRECT(ADDRESS(ROW(),COLUMN()-1,4)),UNSPSCCode,0)),"")</f>
        <v>Desinfectante de manos</v>
      </c>
      <c r="C298" s="42" t="s">
        <v>72</v>
      </c>
      <c r="D298" s="42">
        <v>10</v>
      </c>
      <c r="E298" s="45">
        <v>700</v>
      </c>
      <c r="F298" s="46">
        <f ca="1">INDIRECT(ADDRESS(ROW(),COLUMN()-2,4))*INDIRECT(ADDRESS(ROW(),COLUMN()-1,4))</f>
        <v>7000</v>
      </c>
      <c r="G298" s="50"/>
    </row>
    <row r="299" spans="1:7" x14ac:dyDescent="0.25">
      <c r="A299" s="50"/>
      <c r="B299" s="50"/>
      <c r="C299" s="50"/>
      <c r="D299" s="50"/>
      <c r="E299" s="54" t="s">
        <v>49</v>
      </c>
      <c r="F299" s="49">
        <f ca="1">SUM(Table311[MONTO TOTAL ESTIMADO])</f>
        <v>10600</v>
      </c>
      <c r="G299" s="50"/>
    </row>
    <row r="300" spans="1:7" ht="15.75" thickBot="1" x14ac:dyDescent="0.3">
      <c r="A300" s="50"/>
      <c r="B300" s="50"/>
      <c r="C300" s="50"/>
      <c r="D300" s="50"/>
      <c r="E300" s="55"/>
      <c r="F300" s="60"/>
      <c r="G300" s="57"/>
    </row>
    <row r="301" spans="1:7" ht="34.5" thickBot="1" x14ac:dyDescent="0.3">
      <c r="A301" s="31" t="s">
        <v>18</v>
      </c>
      <c r="B301" s="31" t="s">
        <v>19</v>
      </c>
      <c r="C301" s="31" t="s">
        <v>20</v>
      </c>
      <c r="D301" s="31" t="s">
        <v>21</v>
      </c>
      <c r="E301" s="31" t="s">
        <v>22</v>
      </c>
      <c r="F301" s="31" t="s">
        <v>23</v>
      </c>
      <c r="G301" s="50"/>
    </row>
    <row r="302" spans="1:7" ht="15.75" thickBot="1" x14ac:dyDescent="0.3">
      <c r="A302" s="33" t="s">
        <v>73</v>
      </c>
      <c r="B302" s="33" t="s">
        <v>73</v>
      </c>
      <c r="C302" s="33" t="s">
        <v>74</v>
      </c>
      <c r="D302" s="33" t="s">
        <v>75</v>
      </c>
      <c r="E302" s="33" t="s">
        <v>56</v>
      </c>
      <c r="F302" s="33"/>
      <c r="G302" s="50"/>
    </row>
    <row r="303" spans="1:7" ht="15.75" thickBot="1" x14ac:dyDescent="0.3">
      <c r="A303" s="34" t="s">
        <v>28</v>
      </c>
      <c r="B303" s="35" t="s">
        <v>29</v>
      </c>
      <c r="C303" s="51">
        <v>44958</v>
      </c>
      <c r="D303" s="34" t="s">
        <v>30</v>
      </c>
      <c r="E303" s="35" t="s">
        <v>31</v>
      </c>
      <c r="F303" s="33" t="s">
        <v>32</v>
      </c>
      <c r="G303" s="50"/>
    </row>
    <row r="304" spans="1:7" ht="15.75" thickBot="1" x14ac:dyDescent="0.3">
      <c r="A304" s="39"/>
      <c r="B304" s="35" t="s">
        <v>33</v>
      </c>
      <c r="C304" s="52">
        <f>IF(C303="","",IF(AND(MONTH(C303)&gt;=1,MONTH(C303)&lt;=3),1,IF(AND(MONTH(C303)&gt;=4,MONTH(C303)&lt;=6),2,IF(AND(MONTH(C303)&gt;=7,MONTH(C303)&lt;=9),3,4))))</f>
        <v>1</v>
      </c>
      <c r="D304" s="39"/>
      <c r="E304" s="35" t="s">
        <v>34</v>
      </c>
      <c r="F304" s="33" t="s">
        <v>35</v>
      </c>
      <c r="G304" s="50"/>
    </row>
    <row r="305" spans="1:7" ht="15.75" thickBot="1" x14ac:dyDescent="0.3">
      <c r="A305" s="39"/>
      <c r="B305" s="35" t="s">
        <v>36</v>
      </c>
      <c r="C305" s="51">
        <v>44966</v>
      </c>
      <c r="D305" s="39"/>
      <c r="E305" s="35" t="s">
        <v>37</v>
      </c>
      <c r="F305" s="33" t="s">
        <v>35</v>
      </c>
      <c r="G305" s="50"/>
    </row>
    <row r="306" spans="1:7" ht="15.75" thickBot="1" x14ac:dyDescent="0.3">
      <c r="A306" s="39"/>
      <c r="B306" s="35" t="s">
        <v>33</v>
      </c>
      <c r="C306" s="52">
        <f>IF(C305="","",IF(AND(MONTH(C305)&gt;=1,MONTH(C305)&lt;=3),1,IF(AND(MONTH(C305)&gt;=4,MONTH(C305)&lt;=6),2,IF(AND(MONTH(C305)&gt;=7,MONTH(C305)&lt;=9),3,4))))</f>
        <v>1</v>
      </c>
      <c r="D306" s="39"/>
      <c r="E306" s="35" t="s">
        <v>38</v>
      </c>
      <c r="F306" s="33" t="s">
        <v>35</v>
      </c>
      <c r="G306" s="50"/>
    </row>
    <row r="307" spans="1:7" ht="15.75" thickBot="1" x14ac:dyDescent="0.3">
      <c r="A307" s="50"/>
      <c r="B307" s="50"/>
      <c r="C307" s="50"/>
      <c r="D307" s="50"/>
      <c r="E307" s="50"/>
      <c r="F307" s="50"/>
      <c r="G307" s="50"/>
    </row>
    <row r="308" spans="1:7" ht="15.75" thickBot="1" x14ac:dyDescent="0.3">
      <c r="A308" s="41" t="s">
        <v>39</v>
      </c>
      <c r="B308" s="41" t="s">
        <v>40</v>
      </c>
      <c r="C308" s="41" t="s">
        <v>41</v>
      </c>
      <c r="D308" s="41" t="s">
        <v>42</v>
      </c>
      <c r="E308" s="41" t="s">
        <v>43</v>
      </c>
      <c r="F308" s="41" t="s">
        <v>44</v>
      </c>
      <c r="G308" s="50"/>
    </row>
    <row r="309" spans="1:7" ht="22.5" x14ac:dyDescent="0.25">
      <c r="A309" s="42">
        <v>78180102</v>
      </c>
      <c r="B309" s="43" t="str">
        <f ca="1">IFERROR(INDEX(UNSPSCDes,MATCH(INDIRECT(ADDRESS(ROW(),COLUMN()-1,4)),UNSPSCCode,0)),"")</f>
        <v>Reparación de Transmisión</v>
      </c>
      <c r="C309" s="42" t="s">
        <v>46</v>
      </c>
      <c r="D309" s="42">
        <v>1</v>
      </c>
      <c r="E309" s="45">
        <v>1100000</v>
      </c>
      <c r="F309" s="46">
        <f ca="1">INDIRECT(ADDRESS(ROW(),COLUMN()-2,4))*INDIRECT(ADDRESS(ROW(),COLUMN()-1,4))</f>
        <v>1100000</v>
      </c>
      <c r="G309" s="50"/>
    </row>
    <row r="310" spans="1:7" x14ac:dyDescent="0.25">
      <c r="A310" s="50"/>
      <c r="B310" s="50"/>
      <c r="C310" s="50"/>
      <c r="D310" s="50"/>
      <c r="E310" s="54" t="s">
        <v>49</v>
      </c>
      <c r="F310" s="49">
        <f ca="1">SUM(Table312[MONTO TOTAL ESTIMADO])</f>
        <v>1100000</v>
      </c>
      <c r="G310" s="50"/>
    </row>
    <row r="311" spans="1:7" ht="15.75" thickBot="1" x14ac:dyDescent="0.3">
      <c r="A311" s="50"/>
      <c r="B311" s="50"/>
      <c r="C311" s="50"/>
      <c r="D311" s="50"/>
      <c r="E311" s="55"/>
      <c r="F311" s="60"/>
      <c r="G311" s="57"/>
    </row>
    <row r="312" spans="1:7" ht="34.5" thickBot="1" x14ac:dyDescent="0.3">
      <c r="A312" s="31" t="s">
        <v>18</v>
      </c>
      <c r="B312" s="31" t="s">
        <v>19</v>
      </c>
      <c r="C312" s="31" t="s">
        <v>20</v>
      </c>
      <c r="D312" s="31" t="s">
        <v>21</v>
      </c>
      <c r="E312" s="31" t="s">
        <v>22</v>
      </c>
      <c r="F312" s="31" t="s">
        <v>23</v>
      </c>
      <c r="G312" s="50"/>
    </row>
    <row r="313" spans="1:7" ht="15.75" thickBot="1" x14ac:dyDescent="0.3">
      <c r="A313" s="33" t="s">
        <v>76</v>
      </c>
      <c r="B313" s="33" t="s">
        <v>77</v>
      </c>
      <c r="C313" s="33" t="s">
        <v>74</v>
      </c>
      <c r="D313" s="33" t="s">
        <v>52</v>
      </c>
      <c r="E313" s="33" t="s">
        <v>53</v>
      </c>
      <c r="F313" s="33"/>
      <c r="G313" s="50"/>
    </row>
    <row r="314" spans="1:7" ht="15.75" thickBot="1" x14ac:dyDescent="0.3">
      <c r="A314" s="34" t="s">
        <v>28</v>
      </c>
      <c r="B314" s="35" t="s">
        <v>29</v>
      </c>
      <c r="C314" s="51">
        <v>44928</v>
      </c>
      <c r="D314" s="34" t="s">
        <v>30</v>
      </c>
      <c r="E314" s="35" t="s">
        <v>31</v>
      </c>
      <c r="F314" s="33" t="s">
        <v>32</v>
      </c>
      <c r="G314" s="50"/>
    </row>
    <row r="315" spans="1:7" ht="15.75" thickBot="1" x14ac:dyDescent="0.3">
      <c r="A315" s="39"/>
      <c r="B315" s="35" t="s">
        <v>33</v>
      </c>
      <c r="C315" s="52">
        <f>IF(C314="","",IF(AND(MONTH(C314)&gt;=1,MONTH(C314)&lt;=3),1,IF(AND(MONTH(C314)&gt;=4,MONTH(C314)&lt;=6),2,IF(AND(MONTH(C314)&gt;=7,MONTH(C314)&lt;=9),3,4))))</f>
        <v>1</v>
      </c>
      <c r="D315" s="39"/>
      <c r="E315" s="35" t="s">
        <v>34</v>
      </c>
      <c r="F315" s="33" t="s">
        <v>35</v>
      </c>
      <c r="G315" s="50"/>
    </row>
    <row r="316" spans="1:7" ht="15.75" thickBot="1" x14ac:dyDescent="0.3">
      <c r="A316" s="39"/>
      <c r="B316" s="35" t="s">
        <v>36</v>
      </c>
      <c r="C316" s="51">
        <v>44934</v>
      </c>
      <c r="D316" s="39"/>
      <c r="E316" s="35" t="s">
        <v>37</v>
      </c>
      <c r="F316" s="33" t="s">
        <v>35</v>
      </c>
      <c r="G316" s="50"/>
    </row>
    <row r="317" spans="1:7" ht="15.75" thickBot="1" x14ac:dyDescent="0.3">
      <c r="A317" s="39"/>
      <c r="B317" s="35" t="s">
        <v>33</v>
      </c>
      <c r="C317" s="52">
        <f>IF(C316="","",IF(AND(MONTH(C316)&gt;=1,MONTH(C316)&lt;=3),1,IF(AND(MONTH(C316)&gt;=4,MONTH(C316)&lt;=6),2,IF(AND(MONTH(C316)&gt;=7,MONTH(C316)&lt;=9),3,4))))</f>
        <v>1</v>
      </c>
      <c r="D317" s="39"/>
      <c r="E317" s="35" t="s">
        <v>38</v>
      </c>
      <c r="F317" s="33" t="s">
        <v>35</v>
      </c>
      <c r="G317" s="50"/>
    </row>
    <row r="318" spans="1:7" ht="15.75" thickBot="1" x14ac:dyDescent="0.3">
      <c r="A318" s="50"/>
      <c r="B318" s="50"/>
      <c r="C318" s="50"/>
      <c r="D318" s="50"/>
      <c r="E318" s="50"/>
      <c r="F318" s="50"/>
      <c r="G318" s="50"/>
    </row>
    <row r="319" spans="1:7" ht="15.75" thickBot="1" x14ac:dyDescent="0.3">
      <c r="A319" s="41" t="s">
        <v>39</v>
      </c>
      <c r="B319" s="41" t="s">
        <v>40</v>
      </c>
      <c r="C319" s="41" t="s">
        <v>41</v>
      </c>
      <c r="D319" s="41" t="s">
        <v>42</v>
      </c>
      <c r="E319" s="41" t="s">
        <v>43</v>
      </c>
      <c r="F319" s="41" t="s">
        <v>44</v>
      </c>
      <c r="G319" s="50"/>
    </row>
    <row r="320" spans="1:7" ht="33.75" x14ac:dyDescent="0.25">
      <c r="A320" s="42">
        <v>72102103</v>
      </c>
      <c r="B320" s="43" t="str">
        <f ca="1">IFERROR(INDEX(UNSPSCDes,MATCH(INDIRECT(ADDRESS(ROW(),COLUMN()-1,4)),UNSPSCCode,0)),"")</f>
        <v>Servicios de exterminación o fumigación</v>
      </c>
      <c r="C320" s="42" t="s">
        <v>46</v>
      </c>
      <c r="D320" s="42">
        <v>1</v>
      </c>
      <c r="E320" s="45">
        <v>100000</v>
      </c>
      <c r="F320" s="46">
        <f ca="1">INDIRECT(ADDRESS(ROW(),COLUMN()-2,4))*INDIRECT(ADDRESS(ROW(),COLUMN()-1,4))</f>
        <v>100000</v>
      </c>
      <c r="G320" s="50"/>
    </row>
    <row r="321" spans="1:7" x14ac:dyDescent="0.25">
      <c r="A321" s="50"/>
      <c r="B321" s="50"/>
      <c r="C321" s="50"/>
      <c r="D321" s="50"/>
      <c r="E321" s="54" t="s">
        <v>49</v>
      </c>
      <c r="F321" s="49">
        <f ca="1">SUM(Table313[MONTO TOTAL ESTIMADO])</f>
        <v>100000</v>
      </c>
      <c r="G321" s="50"/>
    </row>
    <row r="322" spans="1:7" ht="15.75" thickBot="1" x14ac:dyDescent="0.3">
      <c r="A322" s="50"/>
      <c r="B322" s="50"/>
      <c r="C322" s="50"/>
      <c r="D322" s="50"/>
      <c r="E322" s="55"/>
      <c r="F322" s="60"/>
      <c r="G322" s="57"/>
    </row>
    <row r="323" spans="1:7" ht="34.5" thickBot="1" x14ac:dyDescent="0.3">
      <c r="A323" s="31" t="s">
        <v>18</v>
      </c>
      <c r="B323" s="31" t="s">
        <v>19</v>
      </c>
      <c r="C323" s="31" t="s">
        <v>20</v>
      </c>
      <c r="D323" s="31" t="s">
        <v>21</v>
      </c>
      <c r="E323" s="31" t="s">
        <v>22</v>
      </c>
      <c r="F323" s="31" t="s">
        <v>23</v>
      </c>
      <c r="G323" s="50"/>
    </row>
    <row r="324" spans="1:7" ht="15.75" thickBot="1" x14ac:dyDescent="0.3">
      <c r="A324" s="33" t="s">
        <v>78</v>
      </c>
      <c r="B324" s="33" t="s">
        <v>79</v>
      </c>
      <c r="C324" s="33" t="s">
        <v>74</v>
      </c>
      <c r="D324" s="33" t="s">
        <v>27</v>
      </c>
      <c r="E324" s="33" t="s">
        <v>53</v>
      </c>
      <c r="F324" s="33"/>
      <c r="G324" s="50"/>
    </row>
    <row r="325" spans="1:7" ht="15.75" thickBot="1" x14ac:dyDescent="0.3">
      <c r="A325" s="34" t="s">
        <v>28</v>
      </c>
      <c r="B325" s="35" t="s">
        <v>29</v>
      </c>
      <c r="C325" s="51">
        <v>45000</v>
      </c>
      <c r="D325" s="34" t="s">
        <v>30</v>
      </c>
      <c r="E325" s="35" t="s">
        <v>31</v>
      </c>
      <c r="F325" s="33" t="s">
        <v>32</v>
      </c>
      <c r="G325" s="50"/>
    </row>
    <row r="326" spans="1:7" ht="15.75" thickBot="1" x14ac:dyDescent="0.3">
      <c r="A326" s="39"/>
      <c r="B326" s="35" t="s">
        <v>33</v>
      </c>
      <c r="C326" s="52">
        <f>IF(C325="","",IF(AND(MONTH(C325)&gt;=1,MONTH(C325)&lt;=3),1,IF(AND(MONTH(C325)&gt;=4,MONTH(C325)&lt;=6),2,IF(AND(MONTH(C325)&gt;=7,MONTH(C325)&lt;=9),3,4))))</f>
        <v>1</v>
      </c>
      <c r="D326" s="39"/>
      <c r="E326" s="35" t="s">
        <v>34</v>
      </c>
      <c r="F326" s="33" t="s">
        <v>35</v>
      </c>
      <c r="G326" s="50"/>
    </row>
    <row r="327" spans="1:7" ht="15.75" thickBot="1" x14ac:dyDescent="0.3">
      <c r="A327" s="39"/>
      <c r="B327" s="35" t="s">
        <v>36</v>
      </c>
      <c r="C327" s="51">
        <v>45008</v>
      </c>
      <c r="D327" s="39"/>
      <c r="E327" s="35" t="s">
        <v>37</v>
      </c>
      <c r="F327" s="33" t="s">
        <v>35</v>
      </c>
      <c r="G327" s="50"/>
    </row>
    <row r="328" spans="1:7" ht="15.75" thickBot="1" x14ac:dyDescent="0.3">
      <c r="A328" s="39"/>
      <c r="B328" s="35" t="s">
        <v>33</v>
      </c>
      <c r="C328" s="52">
        <f>IF(C327="","",IF(AND(MONTH(C327)&gt;=1,MONTH(C327)&lt;=3),1,IF(AND(MONTH(C327)&gt;=4,MONTH(C327)&lt;=6),2,IF(AND(MONTH(C327)&gt;=7,MONTH(C327)&lt;=9),3,4))))</f>
        <v>1</v>
      </c>
      <c r="D328" s="39"/>
      <c r="E328" s="35" t="s">
        <v>38</v>
      </c>
      <c r="F328" s="33" t="s">
        <v>35</v>
      </c>
      <c r="G328" s="50"/>
    </row>
    <row r="329" spans="1:7" ht="15.75" thickBot="1" x14ac:dyDescent="0.3">
      <c r="A329" s="50"/>
      <c r="B329" s="50"/>
      <c r="C329" s="50"/>
      <c r="D329" s="50"/>
      <c r="E329" s="50"/>
      <c r="F329" s="50"/>
      <c r="G329" s="50"/>
    </row>
    <row r="330" spans="1:7" ht="15.75" thickBot="1" x14ac:dyDescent="0.3">
      <c r="A330" s="41" t="s">
        <v>39</v>
      </c>
      <c r="B330" s="41" t="s">
        <v>40</v>
      </c>
      <c r="C330" s="41" t="s">
        <v>41</v>
      </c>
      <c r="D330" s="41" t="s">
        <v>42</v>
      </c>
      <c r="E330" s="41" t="s">
        <v>43</v>
      </c>
      <c r="F330" s="41" t="s">
        <v>44</v>
      </c>
      <c r="G330" s="50"/>
    </row>
    <row r="331" spans="1:7" ht="67.5" x14ac:dyDescent="0.25">
      <c r="A331" s="42">
        <v>72102305</v>
      </c>
      <c r="B331" s="43" t="str">
        <f ca="1">IFERROR(INDEX(UNSPSCDes,MATCH(INDIRECT(ADDRESS(ROW(),COLUMN()-1,4)),UNSPSCCode,0)),"")</f>
        <v>Servicios de reparación, mantenimiento o reparación de aire acondicionado</v>
      </c>
      <c r="C331" s="42" t="s">
        <v>46</v>
      </c>
      <c r="D331" s="42">
        <v>1</v>
      </c>
      <c r="E331" s="45">
        <v>475000</v>
      </c>
      <c r="F331" s="46">
        <f ca="1">INDIRECT(ADDRESS(ROW(),COLUMN()-2,4))*INDIRECT(ADDRESS(ROW(),COLUMN()-1,4))</f>
        <v>475000</v>
      </c>
      <c r="G331" s="50"/>
    </row>
    <row r="332" spans="1:7" x14ac:dyDescent="0.25">
      <c r="A332" s="50"/>
      <c r="B332" s="50"/>
      <c r="C332" s="50"/>
      <c r="D332" s="50"/>
      <c r="E332" s="54" t="s">
        <v>49</v>
      </c>
      <c r="F332" s="49">
        <f ca="1">SUM(Table314[MONTO TOTAL ESTIMADO])</f>
        <v>475000</v>
      </c>
      <c r="G332" s="50"/>
    </row>
    <row r="333" spans="1:7" ht="15.75" thickBot="1" x14ac:dyDescent="0.3">
      <c r="A333" s="50"/>
      <c r="B333" s="50"/>
      <c r="C333" s="50"/>
      <c r="D333" s="50"/>
      <c r="E333" s="55"/>
      <c r="F333" s="60"/>
      <c r="G333" s="57"/>
    </row>
    <row r="334" spans="1:7" ht="34.5" thickBot="1" x14ac:dyDescent="0.3">
      <c r="A334" s="31" t="s">
        <v>18</v>
      </c>
      <c r="B334" s="31" t="s">
        <v>19</v>
      </c>
      <c r="C334" s="31" t="s">
        <v>20</v>
      </c>
      <c r="D334" s="31" t="s">
        <v>21</v>
      </c>
      <c r="E334" s="31" t="s">
        <v>22</v>
      </c>
      <c r="F334" s="31" t="s">
        <v>23</v>
      </c>
      <c r="G334" s="50"/>
    </row>
    <row r="335" spans="1:7" ht="15.75" thickBot="1" x14ac:dyDescent="0.3">
      <c r="A335" s="33" t="s">
        <v>80</v>
      </c>
      <c r="B335" s="33" t="s">
        <v>25</v>
      </c>
      <c r="C335" s="33" t="s">
        <v>26</v>
      </c>
      <c r="D335" s="33" t="s">
        <v>52</v>
      </c>
      <c r="E335" s="33" t="s">
        <v>53</v>
      </c>
      <c r="F335" s="33"/>
      <c r="G335" s="50"/>
    </row>
    <row r="336" spans="1:7" ht="15.75" thickBot="1" x14ac:dyDescent="0.3">
      <c r="A336" s="34" t="s">
        <v>28</v>
      </c>
      <c r="B336" s="35" t="s">
        <v>29</v>
      </c>
      <c r="C336" s="51">
        <v>44942</v>
      </c>
      <c r="D336" s="34" t="s">
        <v>30</v>
      </c>
      <c r="E336" s="35" t="s">
        <v>31</v>
      </c>
      <c r="F336" s="33" t="s">
        <v>32</v>
      </c>
      <c r="G336" s="50"/>
    </row>
    <row r="337" spans="1:7" ht="15.75" thickBot="1" x14ac:dyDescent="0.3">
      <c r="A337" s="39"/>
      <c r="B337" s="35" t="s">
        <v>33</v>
      </c>
      <c r="C337" s="52">
        <f>IF(C336="","",IF(AND(MONTH(C336)&gt;=1,MONTH(C336)&lt;=3),1,IF(AND(MONTH(C336)&gt;=4,MONTH(C336)&lt;=6),2,IF(AND(MONTH(C336)&gt;=7,MONTH(C336)&lt;=9),3,4))))</f>
        <v>1</v>
      </c>
      <c r="D337" s="39"/>
      <c r="E337" s="35" t="s">
        <v>34</v>
      </c>
      <c r="F337" s="33" t="s">
        <v>35</v>
      </c>
      <c r="G337" s="50"/>
    </row>
    <row r="338" spans="1:7" ht="15.75" thickBot="1" x14ac:dyDescent="0.3">
      <c r="A338" s="39"/>
      <c r="B338" s="35" t="s">
        <v>36</v>
      </c>
      <c r="C338" s="51">
        <v>44949</v>
      </c>
      <c r="D338" s="39"/>
      <c r="E338" s="35" t="s">
        <v>37</v>
      </c>
      <c r="F338" s="33" t="s">
        <v>35</v>
      </c>
      <c r="G338" s="50"/>
    </row>
    <row r="339" spans="1:7" ht="15.75" thickBot="1" x14ac:dyDescent="0.3">
      <c r="A339" s="39"/>
      <c r="B339" s="35" t="s">
        <v>33</v>
      </c>
      <c r="C339" s="52">
        <f>IF(C338="","",IF(AND(MONTH(C338)&gt;=1,MONTH(C338)&lt;=3),1,IF(AND(MONTH(C338)&gt;=4,MONTH(C338)&lt;=6),2,IF(AND(MONTH(C338)&gt;=7,MONTH(C338)&lt;=9),3,4))))</f>
        <v>1</v>
      </c>
      <c r="D339" s="39"/>
      <c r="E339" s="35" t="s">
        <v>38</v>
      </c>
      <c r="F339" s="33" t="s">
        <v>35</v>
      </c>
      <c r="G339" s="50"/>
    </row>
    <row r="340" spans="1:7" ht="15.75" thickBot="1" x14ac:dyDescent="0.3">
      <c r="A340" s="50"/>
      <c r="B340" s="50"/>
      <c r="C340" s="50"/>
      <c r="D340" s="50"/>
      <c r="E340" s="50"/>
      <c r="F340" s="50"/>
      <c r="G340" s="50"/>
    </row>
    <row r="341" spans="1:7" ht="15.75" thickBot="1" x14ac:dyDescent="0.3">
      <c r="A341" s="41" t="s">
        <v>39</v>
      </c>
      <c r="B341" s="41" t="s">
        <v>40</v>
      </c>
      <c r="C341" s="41" t="s">
        <v>41</v>
      </c>
      <c r="D341" s="41" t="s">
        <v>42</v>
      </c>
      <c r="E341" s="41" t="s">
        <v>43</v>
      </c>
      <c r="F341" s="41" t="s">
        <v>44</v>
      </c>
      <c r="G341" s="50"/>
    </row>
    <row r="342" spans="1:7" ht="22.5" x14ac:dyDescent="0.25">
      <c r="A342" s="42">
        <v>44121619</v>
      </c>
      <c r="B342" s="43" t="str">
        <f ca="1">IFERROR(INDEX(UNSPSCDes,MATCH(INDIRECT(ADDRESS(ROW(),COLUMN()-1,4)),UNSPSCCode,0)),"")</f>
        <v>Tajalápices manuales</v>
      </c>
      <c r="C342" s="42" t="s">
        <v>46</v>
      </c>
      <c r="D342" s="42">
        <v>1</v>
      </c>
      <c r="E342" s="45">
        <v>1357</v>
      </c>
      <c r="F342" s="46">
        <f ca="1">INDIRECT(ADDRESS(ROW(),COLUMN()-2,4))*INDIRECT(ADDRESS(ROW(),COLUMN()-1,4))</f>
        <v>1357</v>
      </c>
      <c r="G342" s="50"/>
    </row>
    <row r="343" spans="1:7" ht="22.5" x14ac:dyDescent="0.25">
      <c r="A343" s="42">
        <v>55121606</v>
      </c>
      <c r="B343" s="43" t="str">
        <f ca="1">IFERROR(INDEX(UNSPSCDes,MATCH(INDIRECT(ADDRESS(ROW(),COLUMN()-1,4)),UNSPSCCode,0)),"")</f>
        <v>Etiquetas auto adhesivas</v>
      </c>
      <c r="C343" s="42" t="s">
        <v>47</v>
      </c>
      <c r="D343" s="42">
        <v>1</v>
      </c>
      <c r="E343" s="45">
        <v>200</v>
      </c>
      <c r="F343" s="46">
        <f ca="1">INDIRECT(ADDRESS(ROW(),COLUMN()-2,4))*INDIRECT(ADDRESS(ROW(),COLUMN()-1,4))</f>
        <v>200</v>
      </c>
      <c r="G343" s="50"/>
    </row>
    <row r="344" spans="1:7" ht="33.75" x14ac:dyDescent="0.25">
      <c r="A344" s="42">
        <v>43202005</v>
      </c>
      <c r="B344" s="43" t="str">
        <f ca="1">IFERROR(INDEX(UNSPSCDes,MATCH(INDIRECT(ADDRESS(ROW(),COLUMN()-1,4)),UNSPSCCode,0)),"")</f>
        <v>Tarjeta flash de almacenamiento de memoria</v>
      </c>
      <c r="C344" s="42" t="s">
        <v>46</v>
      </c>
      <c r="D344" s="42">
        <v>3</v>
      </c>
      <c r="E344" s="45">
        <v>1055</v>
      </c>
      <c r="F344" s="46">
        <f ca="1">INDIRECT(ADDRESS(ROW(),COLUMN()-2,4))*INDIRECT(ADDRESS(ROW(),COLUMN()-1,4))</f>
        <v>3165</v>
      </c>
      <c r="G344" s="50"/>
    </row>
    <row r="345" spans="1:7" ht="33.75" x14ac:dyDescent="0.25">
      <c r="A345" s="42">
        <v>60121104</v>
      </c>
      <c r="B345" s="43" t="str">
        <f ca="1">IFERROR(INDEX(UNSPSCDes,MATCH(INDIRECT(ADDRESS(ROW(),COLUMN()-1,4)),UNSPSCCode,0)),"")</f>
        <v>Papel bond para para dibujo</v>
      </c>
      <c r="C345" s="42" t="s">
        <v>45</v>
      </c>
      <c r="D345" s="42">
        <v>10</v>
      </c>
      <c r="E345" s="45">
        <v>2237.2800000000002</v>
      </c>
      <c r="F345" s="46">
        <f ca="1">INDIRECT(ADDRESS(ROW(),COLUMN()-2,4))*INDIRECT(ADDRESS(ROW(),COLUMN()-1,4))</f>
        <v>22372.800000000003</v>
      </c>
      <c r="G345" s="50"/>
    </row>
    <row r="346" spans="1:7" x14ac:dyDescent="0.25">
      <c r="A346" s="50"/>
      <c r="B346" s="50"/>
      <c r="C346" s="50"/>
      <c r="D346" s="50"/>
      <c r="E346" s="54" t="s">
        <v>49</v>
      </c>
      <c r="F346" s="49">
        <f ca="1">SUM(Table315[MONTO TOTAL ESTIMADO])</f>
        <v>27094.800000000003</v>
      </c>
      <c r="G346" s="50"/>
    </row>
    <row r="347" spans="1:7" ht="15.75" thickBot="1" x14ac:dyDescent="0.3">
      <c r="A347" s="50"/>
      <c r="B347" s="50"/>
      <c r="C347" s="50"/>
      <c r="D347" s="50"/>
      <c r="E347" s="55"/>
      <c r="F347" s="60"/>
      <c r="G347" s="57"/>
    </row>
    <row r="348" spans="1:7" ht="34.5" thickBot="1" x14ac:dyDescent="0.3">
      <c r="A348" s="31" t="s">
        <v>18</v>
      </c>
      <c r="B348" s="31" t="s">
        <v>19</v>
      </c>
      <c r="C348" s="31" t="s">
        <v>20</v>
      </c>
      <c r="D348" s="31" t="s">
        <v>21</v>
      </c>
      <c r="E348" s="31" t="s">
        <v>22</v>
      </c>
      <c r="F348" s="31" t="s">
        <v>23</v>
      </c>
      <c r="G348" s="50"/>
    </row>
    <row r="349" spans="1:7" ht="15.75" thickBot="1" x14ac:dyDescent="0.3">
      <c r="A349" s="33" t="s">
        <v>73</v>
      </c>
      <c r="B349" s="33" t="s">
        <v>73</v>
      </c>
      <c r="C349" s="33" t="s">
        <v>74</v>
      </c>
      <c r="D349" s="33" t="s">
        <v>52</v>
      </c>
      <c r="E349" s="33" t="s">
        <v>53</v>
      </c>
      <c r="F349" s="33"/>
      <c r="G349" s="50"/>
    </row>
    <row r="350" spans="1:7" ht="15.75" thickBot="1" x14ac:dyDescent="0.3">
      <c r="A350" s="34" t="s">
        <v>28</v>
      </c>
      <c r="B350" s="35" t="s">
        <v>29</v>
      </c>
      <c r="C350" s="51">
        <v>45009</v>
      </c>
      <c r="D350" s="34" t="s">
        <v>30</v>
      </c>
      <c r="E350" s="35" t="s">
        <v>31</v>
      </c>
      <c r="F350" s="33" t="s">
        <v>32</v>
      </c>
      <c r="G350" s="50"/>
    </row>
    <row r="351" spans="1:7" ht="15.75" thickBot="1" x14ac:dyDescent="0.3">
      <c r="A351" s="39"/>
      <c r="B351" s="35" t="s">
        <v>33</v>
      </c>
      <c r="C351" s="52">
        <f>IF(C350="","",IF(AND(MONTH(C350)&gt;=1,MONTH(C350)&lt;=3),1,IF(AND(MONTH(C350)&gt;=4,MONTH(C350)&lt;=6),2,IF(AND(MONTH(C350)&gt;=7,MONTH(C350)&lt;=9),3,4))))</f>
        <v>1</v>
      </c>
      <c r="D351" s="39"/>
      <c r="E351" s="35" t="s">
        <v>34</v>
      </c>
      <c r="F351" s="33" t="s">
        <v>35</v>
      </c>
      <c r="G351" s="50"/>
    </row>
    <row r="352" spans="1:7" ht="15.75" thickBot="1" x14ac:dyDescent="0.3">
      <c r="A352" s="39"/>
      <c r="B352" s="35" t="s">
        <v>36</v>
      </c>
      <c r="C352" s="51">
        <v>45013</v>
      </c>
      <c r="D352" s="39"/>
      <c r="E352" s="35" t="s">
        <v>37</v>
      </c>
      <c r="F352" s="33" t="s">
        <v>35</v>
      </c>
      <c r="G352" s="50"/>
    </row>
    <row r="353" spans="1:7" ht="15.75" thickBot="1" x14ac:dyDescent="0.3">
      <c r="A353" s="39"/>
      <c r="B353" s="35" t="s">
        <v>33</v>
      </c>
      <c r="C353" s="52">
        <f>IF(C352="","",IF(AND(MONTH(C352)&gt;=1,MONTH(C352)&lt;=3),1,IF(AND(MONTH(C352)&gt;=4,MONTH(C352)&lt;=6),2,IF(AND(MONTH(C352)&gt;=7,MONTH(C352)&lt;=9),3,4))))</f>
        <v>1</v>
      </c>
      <c r="D353" s="39"/>
      <c r="E353" s="35" t="s">
        <v>38</v>
      </c>
      <c r="F353" s="33" t="s">
        <v>35</v>
      </c>
      <c r="G353" s="50"/>
    </row>
    <row r="354" spans="1:7" ht="15.75" thickBot="1" x14ac:dyDescent="0.3">
      <c r="A354" s="50"/>
      <c r="B354" s="50"/>
      <c r="C354" s="50"/>
      <c r="D354" s="50"/>
      <c r="E354" s="50"/>
      <c r="F354" s="50"/>
      <c r="G354" s="50"/>
    </row>
    <row r="355" spans="1:7" ht="15.75" thickBot="1" x14ac:dyDescent="0.3">
      <c r="A355" s="41" t="s">
        <v>39</v>
      </c>
      <c r="B355" s="41" t="s">
        <v>40</v>
      </c>
      <c r="C355" s="41" t="s">
        <v>41</v>
      </c>
      <c r="D355" s="41" t="s">
        <v>42</v>
      </c>
      <c r="E355" s="41" t="s">
        <v>43</v>
      </c>
      <c r="F355" s="41" t="s">
        <v>44</v>
      </c>
      <c r="G355" s="50"/>
    </row>
    <row r="356" spans="1:7" ht="22.5" x14ac:dyDescent="0.25">
      <c r="A356" s="42">
        <v>78180102</v>
      </c>
      <c r="B356" s="43" t="str">
        <f ca="1">IFERROR(INDEX(UNSPSCDes,MATCH(INDIRECT(ADDRESS(ROW(),COLUMN()-1,4)),UNSPSCCode,0)),"")</f>
        <v>Reparación de Transmisión</v>
      </c>
      <c r="C356" s="42" t="s">
        <v>46</v>
      </c>
      <c r="D356" s="42">
        <v>1</v>
      </c>
      <c r="E356" s="45">
        <v>240000</v>
      </c>
      <c r="F356" s="46">
        <f ca="1">INDIRECT(ADDRESS(ROW(),COLUMN()-2,4))*INDIRECT(ADDRESS(ROW(),COLUMN()-1,4))</f>
        <v>240000</v>
      </c>
      <c r="G356" s="50"/>
    </row>
    <row r="357" spans="1:7" x14ac:dyDescent="0.25">
      <c r="A357" s="50"/>
      <c r="B357" s="50"/>
      <c r="C357" s="50"/>
      <c r="D357" s="50"/>
      <c r="E357" s="54" t="s">
        <v>49</v>
      </c>
      <c r="F357" s="49">
        <f ca="1">SUM(Table316[MONTO TOTAL ESTIMADO])</f>
        <v>240000</v>
      </c>
      <c r="G357" s="50"/>
    </row>
    <row r="358" spans="1:7" ht="15.75" thickBot="1" x14ac:dyDescent="0.3">
      <c r="A358" s="50"/>
      <c r="B358" s="50"/>
      <c r="C358" s="50"/>
      <c r="D358" s="50"/>
      <c r="E358" s="55"/>
      <c r="F358" s="60"/>
      <c r="G358" s="57"/>
    </row>
    <row r="359" spans="1:7" ht="34.5" thickBot="1" x14ac:dyDescent="0.3">
      <c r="A359" s="31" t="s">
        <v>18</v>
      </c>
      <c r="B359" s="31" t="s">
        <v>19</v>
      </c>
      <c r="C359" s="31" t="s">
        <v>20</v>
      </c>
      <c r="D359" s="31" t="s">
        <v>21</v>
      </c>
      <c r="E359" s="31" t="s">
        <v>22</v>
      </c>
      <c r="F359" s="31" t="s">
        <v>23</v>
      </c>
      <c r="G359" s="50"/>
    </row>
    <row r="360" spans="1:7" ht="15.75" thickBot="1" x14ac:dyDescent="0.3">
      <c r="A360" s="33" t="s">
        <v>81</v>
      </c>
      <c r="B360" s="33" t="s">
        <v>82</v>
      </c>
      <c r="C360" s="33" t="s">
        <v>26</v>
      </c>
      <c r="D360" s="33" t="s">
        <v>52</v>
      </c>
      <c r="E360" s="33" t="s">
        <v>53</v>
      </c>
      <c r="F360" s="33"/>
      <c r="G360" s="50"/>
    </row>
    <row r="361" spans="1:7" ht="15.75" thickBot="1" x14ac:dyDescent="0.3">
      <c r="A361" s="34" t="s">
        <v>28</v>
      </c>
      <c r="B361" s="35" t="s">
        <v>29</v>
      </c>
      <c r="C361" s="51">
        <v>44990</v>
      </c>
      <c r="D361" s="34" t="s">
        <v>30</v>
      </c>
      <c r="E361" s="35" t="s">
        <v>31</v>
      </c>
      <c r="F361" s="33" t="s">
        <v>32</v>
      </c>
      <c r="G361" s="50"/>
    </row>
    <row r="362" spans="1:7" ht="15.75" thickBot="1" x14ac:dyDescent="0.3">
      <c r="A362" s="39"/>
      <c r="B362" s="35" t="s">
        <v>33</v>
      </c>
      <c r="C362" s="52">
        <f>IF(C361="","",IF(AND(MONTH(C361)&gt;=1,MONTH(C361)&lt;=3),1,IF(AND(MONTH(C361)&gt;=4,MONTH(C361)&lt;=6),2,IF(AND(MONTH(C361)&gt;=7,MONTH(C361)&lt;=9),3,4))))</f>
        <v>1</v>
      </c>
      <c r="D362" s="39"/>
      <c r="E362" s="35" t="s">
        <v>34</v>
      </c>
      <c r="F362" s="33" t="s">
        <v>35</v>
      </c>
      <c r="G362" s="50"/>
    </row>
    <row r="363" spans="1:7" ht="15.75" thickBot="1" x14ac:dyDescent="0.3">
      <c r="A363" s="39"/>
      <c r="B363" s="35" t="s">
        <v>36</v>
      </c>
      <c r="C363" s="51">
        <v>44997</v>
      </c>
      <c r="D363" s="39"/>
      <c r="E363" s="35" t="s">
        <v>37</v>
      </c>
      <c r="F363" s="33" t="s">
        <v>35</v>
      </c>
      <c r="G363" s="50"/>
    </row>
    <row r="364" spans="1:7" ht="15.75" thickBot="1" x14ac:dyDescent="0.3">
      <c r="A364" s="39"/>
      <c r="B364" s="35" t="s">
        <v>33</v>
      </c>
      <c r="C364" s="52">
        <f>IF(C363="","",IF(AND(MONTH(C363)&gt;=1,MONTH(C363)&lt;=3),1,IF(AND(MONTH(C363)&gt;=4,MONTH(C363)&lt;=6),2,IF(AND(MONTH(C363)&gt;=7,MONTH(C363)&lt;=9),3,4))))</f>
        <v>1</v>
      </c>
      <c r="D364" s="39"/>
      <c r="E364" s="35" t="s">
        <v>38</v>
      </c>
      <c r="F364" s="33" t="s">
        <v>35</v>
      </c>
      <c r="G364" s="50"/>
    </row>
    <row r="365" spans="1:7" ht="15.75" thickBot="1" x14ac:dyDescent="0.3">
      <c r="A365" s="50"/>
      <c r="B365" s="50"/>
      <c r="C365" s="50"/>
      <c r="D365" s="50"/>
      <c r="E365" s="50"/>
      <c r="F365" s="50"/>
      <c r="G365" s="50"/>
    </row>
    <row r="366" spans="1:7" ht="15.75" thickBot="1" x14ac:dyDescent="0.3">
      <c r="A366" s="41" t="s">
        <v>39</v>
      </c>
      <c r="B366" s="41" t="s">
        <v>40</v>
      </c>
      <c r="C366" s="41" t="s">
        <v>41</v>
      </c>
      <c r="D366" s="41" t="s">
        <v>42</v>
      </c>
      <c r="E366" s="41" t="s">
        <v>43</v>
      </c>
      <c r="F366" s="41" t="s">
        <v>44</v>
      </c>
      <c r="G366" s="50"/>
    </row>
    <row r="367" spans="1:7" ht="33.75" x14ac:dyDescent="0.25">
      <c r="A367" s="42">
        <v>39121004</v>
      </c>
      <c r="B367" s="43" t="str">
        <f ca="1">IFERROR(INDEX(UNSPSCDes,MATCH(INDIRECT(ADDRESS(ROW(),COLUMN()-1,4)),UNSPSCCode,0)),"")</f>
        <v>Unidades de suministro de energía</v>
      </c>
      <c r="C367" s="42" t="s">
        <v>46</v>
      </c>
      <c r="D367" s="42">
        <v>10</v>
      </c>
      <c r="E367" s="45">
        <v>1270</v>
      </c>
      <c r="F367" s="46">
        <f ca="1">INDIRECT(ADDRESS(ROW(),COLUMN()-2,4))*INDIRECT(ADDRESS(ROW(),COLUMN()-1,4))</f>
        <v>12700</v>
      </c>
      <c r="G367" s="50"/>
    </row>
    <row r="368" spans="1:7" x14ac:dyDescent="0.25">
      <c r="A368" s="50"/>
      <c r="B368" s="50"/>
      <c r="C368" s="50"/>
      <c r="D368" s="50"/>
      <c r="E368" s="54" t="s">
        <v>49</v>
      </c>
      <c r="F368" s="49">
        <f ca="1">SUM(Table317[MONTO TOTAL ESTIMADO])</f>
        <v>12700</v>
      </c>
      <c r="G368" s="50"/>
    </row>
    <row r="369" spans="1:7" ht="15.75" thickBot="1" x14ac:dyDescent="0.3">
      <c r="A369" s="50"/>
      <c r="B369" s="50"/>
      <c r="C369" s="50"/>
      <c r="D369" s="50"/>
      <c r="E369" s="55"/>
      <c r="F369" s="60"/>
      <c r="G369" s="57"/>
    </row>
    <row r="370" spans="1:7" ht="34.5" thickBot="1" x14ac:dyDescent="0.3">
      <c r="A370" s="31" t="s">
        <v>18</v>
      </c>
      <c r="B370" s="31" t="s">
        <v>19</v>
      </c>
      <c r="C370" s="31" t="s">
        <v>20</v>
      </c>
      <c r="D370" s="31" t="s">
        <v>21</v>
      </c>
      <c r="E370" s="31" t="s">
        <v>22</v>
      </c>
      <c r="F370" s="31" t="s">
        <v>23</v>
      </c>
      <c r="G370" s="50"/>
    </row>
    <row r="371" spans="1:7" ht="15.75" thickBot="1" x14ac:dyDescent="0.3">
      <c r="A371" s="33" t="s">
        <v>83</v>
      </c>
      <c r="B371" s="33" t="s">
        <v>84</v>
      </c>
      <c r="C371" s="33" t="s">
        <v>74</v>
      </c>
      <c r="D371" s="33" t="s">
        <v>27</v>
      </c>
      <c r="E371" s="33" t="s">
        <v>62</v>
      </c>
      <c r="F371" s="33"/>
      <c r="G371" s="50"/>
    </row>
    <row r="372" spans="1:7" ht="15.75" thickBot="1" x14ac:dyDescent="0.3">
      <c r="A372" s="34" t="s">
        <v>28</v>
      </c>
      <c r="B372" s="35" t="s">
        <v>29</v>
      </c>
      <c r="C372" s="51">
        <v>44937</v>
      </c>
      <c r="D372" s="34" t="s">
        <v>30</v>
      </c>
      <c r="E372" s="35" t="s">
        <v>31</v>
      </c>
      <c r="F372" s="33" t="s">
        <v>32</v>
      </c>
      <c r="G372" s="50"/>
    </row>
    <row r="373" spans="1:7" ht="15.75" thickBot="1" x14ac:dyDescent="0.3">
      <c r="A373" s="39"/>
      <c r="B373" s="35" t="s">
        <v>33</v>
      </c>
      <c r="C373" s="52">
        <f>IF(C372="","",IF(AND(MONTH(C372)&gt;=1,MONTH(C372)&lt;=3),1,IF(AND(MONTH(C372)&gt;=4,MONTH(C372)&lt;=6),2,IF(AND(MONTH(C372)&gt;=7,MONTH(C372)&lt;=9),3,4))))</f>
        <v>1</v>
      </c>
      <c r="D373" s="39"/>
      <c r="E373" s="35" t="s">
        <v>34</v>
      </c>
      <c r="F373" s="33" t="s">
        <v>35</v>
      </c>
      <c r="G373" s="50"/>
    </row>
    <row r="374" spans="1:7" ht="15.75" thickBot="1" x14ac:dyDescent="0.3">
      <c r="A374" s="39"/>
      <c r="B374" s="35" t="s">
        <v>36</v>
      </c>
      <c r="C374" s="51">
        <v>44943</v>
      </c>
      <c r="D374" s="39"/>
      <c r="E374" s="35" t="s">
        <v>37</v>
      </c>
      <c r="F374" s="33" t="s">
        <v>35</v>
      </c>
      <c r="G374" s="50"/>
    </row>
    <row r="375" spans="1:7" ht="15.75" thickBot="1" x14ac:dyDescent="0.3">
      <c r="A375" s="39"/>
      <c r="B375" s="35" t="s">
        <v>33</v>
      </c>
      <c r="C375" s="52">
        <f>IF(C374="","",IF(AND(MONTH(C374)&gt;=1,MONTH(C374)&lt;=3),1,IF(AND(MONTH(C374)&gt;=4,MONTH(C374)&lt;=6),2,IF(AND(MONTH(C374)&gt;=7,MONTH(C374)&lt;=9),3,4))))</f>
        <v>1</v>
      </c>
      <c r="D375" s="39"/>
      <c r="E375" s="35" t="s">
        <v>38</v>
      </c>
      <c r="F375" s="33" t="s">
        <v>35</v>
      </c>
      <c r="G375" s="50"/>
    </row>
    <row r="376" spans="1:7" ht="15.75" thickBot="1" x14ac:dyDescent="0.3">
      <c r="A376" s="50"/>
      <c r="B376" s="50"/>
      <c r="C376" s="50"/>
      <c r="D376" s="50"/>
      <c r="E376" s="50"/>
      <c r="F376" s="50"/>
      <c r="G376" s="50"/>
    </row>
    <row r="377" spans="1:7" ht="15.75" thickBot="1" x14ac:dyDescent="0.3">
      <c r="A377" s="41" t="s">
        <v>39</v>
      </c>
      <c r="B377" s="41" t="s">
        <v>40</v>
      </c>
      <c r="C377" s="41" t="s">
        <v>41</v>
      </c>
      <c r="D377" s="41" t="s">
        <v>42</v>
      </c>
      <c r="E377" s="41" t="s">
        <v>43</v>
      </c>
      <c r="F377" s="41" t="s">
        <v>44</v>
      </c>
      <c r="G377" s="50"/>
    </row>
    <row r="378" spans="1:7" ht="22.5" x14ac:dyDescent="0.25">
      <c r="A378" s="42">
        <v>82121503</v>
      </c>
      <c r="B378" s="43" t="str">
        <f ca="1">IFERROR(INDEX(UNSPSCDes,MATCH(INDIRECT(ADDRESS(ROW(),COLUMN()-1,4)),UNSPSCCode,0)),"")</f>
        <v>Impresión digital</v>
      </c>
      <c r="C378" s="42" t="s">
        <v>46</v>
      </c>
      <c r="D378" s="42">
        <v>3</v>
      </c>
      <c r="E378" s="45">
        <v>4300</v>
      </c>
      <c r="F378" s="46">
        <f ca="1">INDIRECT(ADDRESS(ROW(),COLUMN()-2,4))*INDIRECT(ADDRESS(ROW(),COLUMN()-1,4))</f>
        <v>12900</v>
      </c>
      <c r="G378" s="50"/>
    </row>
    <row r="379" spans="1:7" ht="22.5" x14ac:dyDescent="0.25">
      <c r="A379" s="42">
        <v>82121503</v>
      </c>
      <c r="B379" s="43" t="str">
        <f ca="1">IFERROR(INDEX(UNSPSCDes,MATCH(INDIRECT(ADDRESS(ROW(),COLUMN()-1,4)),UNSPSCCode,0)),"")</f>
        <v>Impresión digital</v>
      </c>
      <c r="C379" s="42" t="s">
        <v>46</v>
      </c>
      <c r="D379" s="42">
        <v>2</v>
      </c>
      <c r="E379" s="45">
        <v>8000</v>
      </c>
      <c r="F379" s="46">
        <f ca="1">INDIRECT(ADDRESS(ROW(),COLUMN()-2,4))*INDIRECT(ADDRESS(ROW(),COLUMN()-1,4))</f>
        <v>16000</v>
      </c>
      <c r="G379" s="50"/>
    </row>
    <row r="380" spans="1:7" ht="22.5" x14ac:dyDescent="0.25">
      <c r="A380" s="42">
        <v>82121503</v>
      </c>
      <c r="B380" s="43" t="str">
        <f ca="1">IFERROR(INDEX(UNSPSCDes,MATCH(INDIRECT(ADDRESS(ROW(),COLUMN()-1,4)),UNSPSCCode,0)),"")</f>
        <v>Impresión digital</v>
      </c>
      <c r="C380" s="42" t="s">
        <v>46</v>
      </c>
      <c r="D380" s="42">
        <v>125</v>
      </c>
      <c r="E380" s="45">
        <v>1200</v>
      </c>
      <c r="F380" s="46">
        <f ca="1">INDIRECT(ADDRESS(ROW(),COLUMN()-2,4))*INDIRECT(ADDRESS(ROW(),COLUMN()-1,4))</f>
        <v>150000</v>
      </c>
      <c r="G380" s="50"/>
    </row>
    <row r="381" spans="1:7" ht="33.75" x14ac:dyDescent="0.25">
      <c r="A381" s="42">
        <v>80121704</v>
      </c>
      <c r="B381" s="43" t="str">
        <f ca="1">IFERROR(INDEX(UNSPSCDes,MATCH(INDIRECT(ADDRESS(ROW(),COLUMN()-1,4)),UNSPSCCode,0)),"")</f>
        <v>Servicios legales sobre contratos</v>
      </c>
      <c r="C381" s="42" t="s">
        <v>46</v>
      </c>
      <c r="D381" s="42">
        <v>5</v>
      </c>
      <c r="E381" s="45">
        <v>5000</v>
      </c>
      <c r="F381" s="46">
        <f ca="1">INDIRECT(ADDRESS(ROW(),COLUMN()-2,4))*INDIRECT(ADDRESS(ROW(),COLUMN()-1,4))</f>
        <v>25000</v>
      </c>
      <c r="G381" s="50"/>
    </row>
    <row r="382" spans="1:7" x14ac:dyDescent="0.25">
      <c r="A382" s="50"/>
      <c r="B382" s="50"/>
      <c r="C382" s="50"/>
      <c r="D382" s="50"/>
      <c r="E382" s="54" t="s">
        <v>49</v>
      </c>
      <c r="F382" s="49">
        <f ca="1">SUM(Table318[MONTO TOTAL ESTIMADO])</f>
        <v>203900</v>
      </c>
      <c r="G382" s="50"/>
    </row>
    <row r="383" spans="1:7" ht="15.75" thickBot="1" x14ac:dyDescent="0.3">
      <c r="A383" s="50"/>
      <c r="B383" s="50"/>
      <c r="C383" s="50"/>
      <c r="D383" s="50"/>
      <c r="E383" s="55"/>
      <c r="F383" s="60"/>
      <c r="G383" s="57"/>
    </row>
    <row r="384" spans="1:7" ht="34.5" thickBot="1" x14ac:dyDescent="0.3">
      <c r="A384" s="31" t="s">
        <v>18</v>
      </c>
      <c r="B384" s="31" t="s">
        <v>19</v>
      </c>
      <c r="C384" s="31" t="s">
        <v>20</v>
      </c>
      <c r="D384" s="31" t="s">
        <v>21</v>
      </c>
      <c r="E384" s="31" t="s">
        <v>22</v>
      </c>
      <c r="F384" s="31" t="s">
        <v>23</v>
      </c>
      <c r="G384" s="50"/>
    </row>
    <row r="385" spans="1:7" ht="15.75" thickBot="1" x14ac:dyDescent="0.3">
      <c r="A385" s="33" t="s">
        <v>83</v>
      </c>
      <c r="B385" s="33" t="s">
        <v>84</v>
      </c>
      <c r="C385" s="33" t="s">
        <v>74</v>
      </c>
      <c r="D385" s="33" t="s">
        <v>52</v>
      </c>
      <c r="E385" s="33" t="s">
        <v>53</v>
      </c>
      <c r="F385" s="33"/>
      <c r="G385" s="50"/>
    </row>
    <row r="386" spans="1:7" ht="15.75" thickBot="1" x14ac:dyDescent="0.3">
      <c r="A386" s="34" t="s">
        <v>28</v>
      </c>
      <c r="B386" s="35" t="s">
        <v>29</v>
      </c>
      <c r="C386" s="51">
        <v>45006</v>
      </c>
      <c r="D386" s="34" t="s">
        <v>30</v>
      </c>
      <c r="E386" s="35" t="s">
        <v>31</v>
      </c>
      <c r="F386" s="33" t="s">
        <v>32</v>
      </c>
      <c r="G386" s="50"/>
    </row>
    <row r="387" spans="1:7" ht="15.75" thickBot="1" x14ac:dyDescent="0.3">
      <c r="A387" s="39"/>
      <c r="B387" s="35" t="s">
        <v>33</v>
      </c>
      <c r="C387" s="52">
        <f>IF(C386="","",IF(AND(MONTH(C386)&gt;=1,MONTH(C386)&lt;=3),1,IF(AND(MONTH(C386)&gt;=4,MONTH(C386)&lt;=6),2,IF(AND(MONTH(C386)&gt;=7,MONTH(C386)&lt;=9),3,4))))</f>
        <v>1</v>
      </c>
      <c r="D387" s="39"/>
      <c r="E387" s="35" t="s">
        <v>34</v>
      </c>
      <c r="F387" s="33" t="s">
        <v>35</v>
      </c>
      <c r="G387" s="50"/>
    </row>
    <row r="388" spans="1:7" ht="15.75" thickBot="1" x14ac:dyDescent="0.3">
      <c r="A388" s="39"/>
      <c r="B388" s="35" t="s">
        <v>36</v>
      </c>
      <c r="C388" s="51">
        <v>45012</v>
      </c>
      <c r="D388" s="39"/>
      <c r="E388" s="35" t="s">
        <v>37</v>
      </c>
      <c r="F388" s="33" t="s">
        <v>35</v>
      </c>
      <c r="G388" s="50"/>
    </row>
    <row r="389" spans="1:7" ht="15.75" thickBot="1" x14ac:dyDescent="0.3">
      <c r="A389" s="39"/>
      <c r="B389" s="35" t="s">
        <v>33</v>
      </c>
      <c r="C389" s="52">
        <f>IF(C388="","",IF(AND(MONTH(C388)&gt;=1,MONTH(C388)&lt;=3),1,IF(AND(MONTH(C388)&gt;=4,MONTH(C388)&lt;=6),2,IF(AND(MONTH(C388)&gt;=7,MONTH(C388)&lt;=9),3,4))))</f>
        <v>1</v>
      </c>
      <c r="D389" s="39"/>
      <c r="E389" s="35" t="s">
        <v>38</v>
      </c>
      <c r="F389" s="33" t="s">
        <v>35</v>
      </c>
      <c r="G389" s="50"/>
    </row>
    <row r="390" spans="1:7" ht="15.75" thickBot="1" x14ac:dyDescent="0.3">
      <c r="A390" s="50"/>
      <c r="B390" s="50"/>
      <c r="C390" s="50"/>
      <c r="D390" s="50"/>
      <c r="E390" s="50"/>
      <c r="F390" s="50"/>
      <c r="G390" s="50"/>
    </row>
    <row r="391" spans="1:7" ht="15.75" thickBot="1" x14ac:dyDescent="0.3">
      <c r="A391" s="41" t="s">
        <v>39</v>
      </c>
      <c r="B391" s="41" t="s">
        <v>40</v>
      </c>
      <c r="C391" s="41" t="s">
        <v>41</v>
      </c>
      <c r="D391" s="41" t="s">
        <v>42</v>
      </c>
      <c r="E391" s="41" t="s">
        <v>43</v>
      </c>
      <c r="F391" s="41" t="s">
        <v>44</v>
      </c>
      <c r="G391" s="50"/>
    </row>
    <row r="392" spans="1:7" ht="45" x14ac:dyDescent="0.25">
      <c r="A392" s="42">
        <v>73151905</v>
      </c>
      <c r="B392" s="43" t="str">
        <f ca="1">IFERROR(INDEX(UNSPSCDes,MATCH(INDIRECT(ADDRESS(ROW(),COLUMN()-1,4)),UNSPSCCode,0)),"")</f>
        <v>Servicios de impresión industrial digital</v>
      </c>
      <c r="C392" s="42" t="s">
        <v>46</v>
      </c>
      <c r="D392" s="42">
        <v>500</v>
      </c>
      <c r="E392" s="45">
        <v>65</v>
      </c>
      <c r="F392" s="46">
        <f ca="1">INDIRECT(ADDRESS(ROW(),COLUMN()-2,4))*INDIRECT(ADDRESS(ROW(),COLUMN()-1,4))</f>
        <v>32500</v>
      </c>
      <c r="G392" s="50"/>
    </row>
    <row r="393" spans="1:7" x14ac:dyDescent="0.25">
      <c r="A393" s="50"/>
      <c r="B393" s="50"/>
      <c r="C393" s="50"/>
      <c r="D393" s="50"/>
      <c r="E393" s="54" t="s">
        <v>49</v>
      </c>
      <c r="F393" s="49">
        <f ca="1">SUM(Table319[MONTO TOTAL ESTIMADO])</f>
        <v>32500</v>
      </c>
      <c r="G393" s="50"/>
    </row>
    <row r="394" spans="1:7" ht="15.75" thickBot="1" x14ac:dyDescent="0.3">
      <c r="A394" s="50"/>
      <c r="B394" s="50"/>
      <c r="C394" s="50"/>
      <c r="D394" s="50"/>
      <c r="E394" s="55"/>
      <c r="F394" s="60"/>
      <c r="G394" s="57"/>
    </row>
    <row r="395" spans="1:7" ht="34.5" thickBot="1" x14ac:dyDescent="0.3">
      <c r="A395" s="31" t="s">
        <v>18</v>
      </c>
      <c r="B395" s="31" t="s">
        <v>19</v>
      </c>
      <c r="C395" s="31" t="s">
        <v>20</v>
      </c>
      <c r="D395" s="31" t="s">
        <v>21</v>
      </c>
      <c r="E395" s="31" t="s">
        <v>22</v>
      </c>
      <c r="F395" s="31" t="s">
        <v>23</v>
      </c>
      <c r="G395" s="50"/>
    </row>
    <row r="396" spans="1:7" ht="15.75" thickBot="1" x14ac:dyDescent="0.3">
      <c r="A396" s="33" t="s">
        <v>83</v>
      </c>
      <c r="B396" s="33" t="s">
        <v>84</v>
      </c>
      <c r="C396" s="33" t="s">
        <v>74</v>
      </c>
      <c r="D396" s="33" t="s">
        <v>52</v>
      </c>
      <c r="E396" s="33" t="s">
        <v>62</v>
      </c>
      <c r="F396" s="33"/>
      <c r="G396" s="50"/>
    </row>
    <row r="397" spans="1:7" ht="15.75" thickBot="1" x14ac:dyDescent="0.3">
      <c r="A397" s="34" t="s">
        <v>28</v>
      </c>
      <c r="B397" s="35" t="s">
        <v>29</v>
      </c>
      <c r="C397" s="51">
        <v>44963</v>
      </c>
      <c r="D397" s="34" t="s">
        <v>30</v>
      </c>
      <c r="E397" s="35" t="s">
        <v>31</v>
      </c>
      <c r="F397" s="33" t="s">
        <v>32</v>
      </c>
      <c r="G397" s="50"/>
    </row>
    <row r="398" spans="1:7" ht="15.75" thickBot="1" x14ac:dyDescent="0.3">
      <c r="A398" s="39"/>
      <c r="B398" s="35" t="s">
        <v>33</v>
      </c>
      <c r="C398" s="52">
        <f>IF(C397="","",IF(AND(MONTH(C397)&gt;=1,MONTH(C397)&lt;=3),1,IF(AND(MONTH(C397)&gt;=4,MONTH(C397)&lt;=6),2,IF(AND(MONTH(C397)&gt;=7,MONTH(C397)&lt;=9),3,4))))</f>
        <v>1</v>
      </c>
      <c r="D398" s="39"/>
      <c r="E398" s="35" t="s">
        <v>34</v>
      </c>
      <c r="F398" s="33" t="s">
        <v>35</v>
      </c>
      <c r="G398" s="50"/>
    </row>
    <row r="399" spans="1:7" ht="15.75" thickBot="1" x14ac:dyDescent="0.3">
      <c r="A399" s="39"/>
      <c r="B399" s="35" t="s">
        <v>36</v>
      </c>
      <c r="C399" s="51">
        <v>44967</v>
      </c>
      <c r="D399" s="39"/>
      <c r="E399" s="35" t="s">
        <v>37</v>
      </c>
      <c r="F399" s="33" t="s">
        <v>35</v>
      </c>
      <c r="G399" s="50"/>
    </row>
    <row r="400" spans="1:7" ht="15.75" thickBot="1" x14ac:dyDescent="0.3">
      <c r="A400" s="39"/>
      <c r="B400" s="35" t="s">
        <v>33</v>
      </c>
      <c r="C400" s="52">
        <f>IF(C399="","",IF(AND(MONTH(C399)&gt;=1,MONTH(C399)&lt;=3),1,IF(AND(MONTH(C399)&gt;=4,MONTH(C399)&lt;=6),2,IF(AND(MONTH(C399)&gt;=7,MONTH(C399)&lt;=9),3,4))))</f>
        <v>1</v>
      </c>
      <c r="D400" s="39"/>
      <c r="E400" s="35" t="s">
        <v>38</v>
      </c>
      <c r="F400" s="33" t="s">
        <v>35</v>
      </c>
      <c r="G400" s="50"/>
    </row>
    <row r="401" spans="1:7" ht="15.75" thickBot="1" x14ac:dyDescent="0.3">
      <c r="A401" s="50"/>
      <c r="B401" s="50"/>
      <c r="C401" s="50"/>
      <c r="D401" s="50"/>
      <c r="E401" s="50"/>
      <c r="F401" s="50"/>
      <c r="G401" s="50"/>
    </row>
    <row r="402" spans="1:7" ht="15.75" thickBot="1" x14ac:dyDescent="0.3">
      <c r="A402" s="41" t="s">
        <v>39</v>
      </c>
      <c r="B402" s="41" t="s">
        <v>40</v>
      </c>
      <c r="C402" s="41" t="s">
        <v>41</v>
      </c>
      <c r="D402" s="41" t="s">
        <v>42</v>
      </c>
      <c r="E402" s="41" t="s">
        <v>43</v>
      </c>
      <c r="F402" s="41" t="s">
        <v>44</v>
      </c>
      <c r="G402" s="50"/>
    </row>
    <row r="403" spans="1:7" ht="22.5" x14ac:dyDescent="0.25">
      <c r="A403" s="42">
        <v>82121503</v>
      </c>
      <c r="B403" s="43" t="str">
        <f ca="1">IFERROR(INDEX(UNSPSCDes,MATCH(INDIRECT(ADDRESS(ROW(),COLUMN()-1,4)),UNSPSCCode,0)),"")</f>
        <v>Impresión digital</v>
      </c>
      <c r="C403" s="42" t="s">
        <v>46</v>
      </c>
      <c r="D403" s="42">
        <v>12</v>
      </c>
      <c r="E403" s="45">
        <v>10000</v>
      </c>
      <c r="F403" s="46">
        <f ca="1">INDIRECT(ADDRESS(ROW(),COLUMN()-2,4))*INDIRECT(ADDRESS(ROW(),COLUMN()-1,4))</f>
        <v>120000</v>
      </c>
      <c r="G403" s="50"/>
    </row>
    <row r="404" spans="1:7" x14ac:dyDescent="0.25">
      <c r="A404" s="50"/>
      <c r="B404" s="50"/>
      <c r="C404" s="50"/>
      <c r="D404" s="50"/>
      <c r="E404" s="54" t="s">
        <v>49</v>
      </c>
      <c r="F404" s="49">
        <f ca="1">SUM(Table320[MONTO TOTAL ESTIMADO])</f>
        <v>120000</v>
      </c>
      <c r="G404" s="50"/>
    </row>
    <row r="405" spans="1:7" ht="15.75" thickBot="1" x14ac:dyDescent="0.3">
      <c r="A405" s="50"/>
      <c r="B405" s="50"/>
      <c r="C405" s="50"/>
      <c r="D405" s="50"/>
      <c r="E405" s="55"/>
      <c r="F405" s="60"/>
      <c r="G405" s="57"/>
    </row>
    <row r="406" spans="1:7" ht="34.5" thickBot="1" x14ac:dyDescent="0.3">
      <c r="A406" s="31" t="s">
        <v>18</v>
      </c>
      <c r="B406" s="31" t="s">
        <v>19</v>
      </c>
      <c r="C406" s="31" t="s">
        <v>20</v>
      </c>
      <c r="D406" s="31" t="s">
        <v>21</v>
      </c>
      <c r="E406" s="31" t="s">
        <v>22</v>
      </c>
      <c r="F406" s="31" t="s">
        <v>23</v>
      </c>
      <c r="G406" s="50"/>
    </row>
    <row r="407" spans="1:7" ht="15.75" thickBot="1" x14ac:dyDescent="0.3">
      <c r="A407" s="33" t="s">
        <v>85</v>
      </c>
      <c r="B407" s="33" t="s">
        <v>85</v>
      </c>
      <c r="C407" s="33" t="s">
        <v>26</v>
      </c>
      <c r="D407" s="33" t="s">
        <v>52</v>
      </c>
      <c r="E407" s="33" t="s">
        <v>53</v>
      </c>
      <c r="F407" s="33"/>
      <c r="G407" s="50"/>
    </row>
    <row r="408" spans="1:7" ht="15.75" thickBot="1" x14ac:dyDescent="0.3">
      <c r="A408" s="34" t="s">
        <v>28</v>
      </c>
      <c r="B408" s="35" t="s">
        <v>29</v>
      </c>
      <c r="C408" s="51">
        <v>44999</v>
      </c>
      <c r="D408" s="34" t="s">
        <v>30</v>
      </c>
      <c r="E408" s="35" t="s">
        <v>31</v>
      </c>
      <c r="F408" s="33" t="s">
        <v>32</v>
      </c>
      <c r="G408" s="50"/>
    </row>
    <row r="409" spans="1:7" ht="15.75" thickBot="1" x14ac:dyDescent="0.3">
      <c r="A409" s="39"/>
      <c r="B409" s="35" t="s">
        <v>33</v>
      </c>
      <c r="C409" s="52">
        <f>IF(C408="","",IF(AND(MONTH(C408)&gt;=1,MONTH(C408)&lt;=3),1,IF(AND(MONTH(C408)&gt;=4,MONTH(C408)&lt;=6),2,IF(AND(MONTH(C408)&gt;=7,MONTH(C408)&lt;=9),3,4))))</f>
        <v>1</v>
      </c>
      <c r="D409" s="39"/>
      <c r="E409" s="35" t="s">
        <v>34</v>
      </c>
      <c r="F409" s="33" t="s">
        <v>35</v>
      </c>
      <c r="G409" s="50"/>
    </row>
    <row r="410" spans="1:7" ht="15.75" thickBot="1" x14ac:dyDescent="0.3">
      <c r="A410" s="39"/>
      <c r="B410" s="35" t="s">
        <v>36</v>
      </c>
      <c r="C410" s="51">
        <v>45007</v>
      </c>
      <c r="D410" s="39"/>
      <c r="E410" s="35" t="s">
        <v>37</v>
      </c>
      <c r="F410" s="33" t="s">
        <v>35</v>
      </c>
      <c r="G410" s="50"/>
    </row>
    <row r="411" spans="1:7" ht="15.75" thickBot="1" x14ac:dyDescent="0.3">
      <c r="A411" s="39"/>
      <c r="B411" s="35" t="s">
        <v>33</v>
      </c>
      <c r="C411" s="52">
        <f>IF(C410="","",IF(AND(MONTH(C410)&gt;=1,MONTH(C410)&lt;=3),1,IF(AND(MONTH(C410)&gt;=4,MONTH(C410)&lt;=6),2,IF(AND(MONTH(C410)&gt;=7,MONTH(C410)&lt;=9),3,4))))</f>
        <v>1</v>
      </c>
      <c r="D411" s="39"/>
      <c r="E411" s="35" t="s">
        <v>38</v>
      </c>
      <c r="F411" s="33" t="s">
        <v>35</v>
      </c>
      <c r="G411" s="50"/>
    </row>
    <row r="412" spans="1:7" ht="15.75" thickBot="1" x14ac:dyDescent="0.3">
      <c r="A412" s="50"/>
      <c r="B412" s="50"/>
      <c r="C412" s="50"/>
      <c r="D412" s="50"/>
      <c r="E412" s="50"/>
      <c r="F412" s="50"/>
      <c r="G412" s="50"/>
    </row>
    <row r="413" spans="1:7" ht="15.75" thickBot="1" x14ac:dyDescent="0.3">
      <c r="A413" s="41" t="s">
        <v>39</v>
      </c>
      <c r="B413" s="41" t="s">
        <v>40</v>
      </c>
      <c r="C413" s="41" t="s">
        <v>41</v>
      </c>
      <c r="D413" s="41" t="s">
        <v>42</v>
      </c>
      <c r="E413" s="41" t="s">
        <v>43</v>
      </c>
      <c r="F413" s="41" t="s">
        <v>44</v>
      </c>
      <c r="G413" s="50"/>
    </row>
    <row r="414" spans="1:7" ht="56.25" x14ac:dyDescent="0.25">
      <c r="A414" s="42">
        <v>52151504</v>
      </c>
      <c r="B414" s="43" t="str">
        <f ca="1">IFERROR(INDEX(UNSPSCDes,MATCH(INDIRECT(ADDRESS(ROW(),COLUMN()-1,4)),UNSPSCCode,0)),"")</f>
        <v>Tazas o vasos o tapas desechables para uso doméstico</v>
      </c>
      <c r="C414" s="42" t="s">
        <v>45</v>
      </c>
      <c r="D414" s="42">
        <v>2</v>
      </c>
      <c r="E414" s="45">
        <v>4200</v>
      </c>
      <c r="F414" s="46">
        <f ca="1">INDIRECT(ADDRESS(ROW(),COLUMN()-2,4))*INDIRECT(ADDRESS(ROW(),COLUMN()-1,4))</f>
        <v>8400</v>
      </c>
      <c r="G414" s="50"/>
    </row>
    <row r="415" spans="1:7" ht="56.25" x14ac:dyDescent="0.25">
      <c r="A415" s="42">
        <v>52151504</v>
      </c>
      <c r="B415" s="43" t="str">
        <f ca="1">IFERROR(INDEX(UNSPSCDes,MATCH(INDIRECT(ADDRESS(ROW(),COLUMN()-1,4)),UNSPSCCode,0)),"")</f>
        <v>Tazas o vasos o tapas desechables para uso doméstico</v>
      </c>
      <c r="C415" s="42" t="s">
        <v>45</v>
      </c>
      <c r="D415" s="42">
        <v>4</v>
      </c>
      <c r="E415" s="45">
        <v>4200</v>
      </c>
      <c r="F415" s="46">
        <f ca="1">INDIRECT(ADDRESS(ROW(),COLUMN()-2,4))*INDIRECT(ADDRESS(ROW(),COLUMN()-1,4))</f>
        <v>16800</v>
      </c>
      <c r="G415" s="50"/>
    </row>
    <row r="416" spans="1:7" ht="56.25" x14ac:dyDescent="0.25">
      <c r="A416" s="42">
        <v>52151504</v>
      </c>
      <c r="B416" s="43" t="str">
        <f ca="1">IFERROR(INDEX(UNSPSCDes,MATCH(INDIRECT(ADDRESS(ROW(),COLUMN()-1,4)),UNSPSCCode,0)),"")</f>
        <v>Tazas o vasos o tapas desechables para uso doméstico</v>
      </c>
      <c r="C416" s="42" t="s">
        <v>45</v>
      </c>
      <c r="D416" s="42">
        <v>6</v>
      </c>
      <c r="E416" s="45">
        <v>3700</v>
      </c>
      <c r="F416" s="46">
        <f ca="1">INDIRECT(ADDRESS(ROW(),COLUMN()-2,4))*INDIRECT(ADDRESS(ROW(),COLUMN()-1,4))</f>
        <v>22200</v>
      </c>
      <c r="G416" s="50"/>
    </row>
    <row r="417" spans="1:7" x14ac:dyDescent="0.25">
      <c r="A417" s="50"/>
      <c r="B417" s="50"/>
      <c r="C417" s="50"/>
      <c r="D417" s="50"/>
      <c r="E417" s="54" t="s">
        <v>49</v>
      </c>
      <c r="F417" s="49">
        <f ca="1">SUM(Table321[MONTO TOTAL ESTIMADO])</f>
        <v>47400</v>
      </c>
      <c r="G417" s="50"/>
    </row>
    <row r="418" spans="1:7" ht="15.75" thickBot="1" x14ac:dyDescent="0.3">
      <c r="A418" s="50"/>
      <c r="B418" s="50"/>
      <c r="C418" s="50"/>
      <c r="D418" s="50"/>
      <c r="E418" s="55"/>
      <c r="F418" s="60"/>
      <c r="G418" s="57"/>
    </row>
    <row r="419" spans="1:7" ht="34.5" thickBot="1" x14ac:dyDescent="0.3">
      <c r="A419" s="31" t="s">
        <v>18</v>
      </c>
      <c r="B419" s="31" t="s">
        <v>19</v>
      </c>
      <c r="C419" s="31" t="s">
        <v>20</v>
      </c>
      <c r="D419" s="31" t="s">
        <v>21</v>
      </c>
      <c r="E419" s="31" t="s">
        <v>22</v>
      </c>
      <c r="F419" s="31" t="s">
        <v>23</v>
      </c>
      <c r="G419" s="50"/>
    </row>
    <row r="420" spans="1:7" ht="15.75" thickBot="1" x14ac:dyDescent="0.3">
      <c r="A420" s="33" t="s">
        <v>86</v>
      </c>
      <c r="B420" s="33" t="s">
        <v>87</v>
      </c>
      <c r="C420" s="33" t="s">
        <v>26</v>
      </c>
      <c r="D420" s="33" t="s">
        <v>52</v>
      </c>
      <c r="E420" s="33" t="s">
        <v>53</v>
      </c>
      <c r="F420" s="33"/>
      <c r="G420" s="50"/>
    </row>
    <row r="421" spans="1:7" ht="15.75" thickBot="1" x14ac:dyDescent="0.3">
      <c r="A421" s="34" t="s">
        <v>28</v>
      </c>
      <c r="B421" s="35" t="s">
        <v>29</v>
      </c>
      <c r="C421" s="51">
        <v>45007</v>
      </c>
      <c r="D421" s="34" t="s">
        <v>30</v>
      </c>
      <c r="E421" s="35" t="s">
        <v>31</v>
      </c>
      <c r="F421" s="33" t="s">
        <v>32</v>
      </c>
      <c r="G421" s="50"/>
    </row>
    <row r="422" spans="1:7" ht="15.75" thickBot="1" x14ac:dyDescent="0.3">
      <c r="A422" s="39"/>
      <c r="B422" s="35" t="s">
        <v>33</v>
      </c>
      <c r="C422" s="52">
        <f>IF(C421="","",IF(AND(MONTH(C421)&gt;=1,MONTH(C421)&lt;=3),1,IF(AND(MONTH(C421)&gt;=4,MONTH(C421)&lt;=6),2,IF(AND(MONTH(C421)&gt;=7,MONTH(C421)&lt;=9),3,4))))</f>
        <v>1</v>
      </c>
      <c r="D422" s="39"/>
      <c r="E422" s="35" t="s">
        <v>34</v>
      </c>
      <c r="F422" s="33" t="s">
        <v>35</v>
      </c>
      <c r="G422" s="50"/>
    </row>
    <row r="423" spans="1:7" ht="15.75" thickBot="1" x14ac:dyDescent="0.3">
      <c r="A423" s="39"/>
      <c r="B423" s="35" t="s">
        <v>36</v>
      </c>
      <c r="C423" s="51">
        <v>45015</v>
      </c>
      <c r="D423" s="39"/>
      <c r="E423" s="35" t="s">
        <v>37</v>
      </c>
      <c r="F423" s="33" t="s">
        <v>35</v>
      </c>
      <c r="G423" s="50"/>
    </row>
    <row r="424" spans="1:7" ht="15.75" thickBot="1" x14ac:dyDescent="0.3">
      <c r="A424" s="39"/>
      <c r="B424" s="35" t="s">
        <v>33</v>
      </c>
      <c r="C424" s="52">
        <f>IF(C423="","",IF(AND(MONTH(C423)&gt;=1,MONTH(C423)&lt;=3),1,IF(AND(MONTH(C423)&gt;=4,MONTH(C423)&lt;=6),2,IF(AND(MONTH(C423)&gt;=7,MONTH(C423)&lt;=9),3,4))))</f>
        <v>1</v>
      </c>
      <c r="D424" s="39"/>
      <c r="E424" s="35" t="s">
        <v>38</v>
      </c>
      <c r="F424" s="33" t="s">
        <v>35</v>
      </c>
      <c r="G424" s="50"/>
    </row>
    <row r="425" spans="1:7" ht="15.75" thickBot="1" x14ac:dyDescent="0.3">
      <c r="A425" s="50"/>
      <c r="B425" s="50"/>
      <c r="C425" s="50"/>
      <c r="D425" s="50"/>
      <c r="E425" s="50"/>
      <c r="F425" s="50"/>
      <c r="G425" s="50"/>
    </row>
    <row r="426" spans="1:7" ht="15.75" thickBot="1" x14ac:dyDescent="0.3">
      <c r="A426" s="41" t="s">
        <v>39</v>
      </c>
      <c r="B426" s="41" t="s">
        <v>40</v>
      </c>
      <c r="C426" s="41" t="s">
        <v>41</v>
      </c>
      <c r="D426" s="41" t="s">
        <v>42</v>
      </c>
      <c r="E426" s="41" t="s">
        <v>43</v>
      </c>
      <c r="F426" s="41" t="s">
        <v>44</v>
      </c>
      <c r="G426" s="50"/>
    </row>
    <row r="427" spans="1:7" ht="22.5" x14ac:dyDescent="0.25">
      <c r="A427" s="42">
        <v>82151705</v>
      </c>
      <c r="B427" s="43" t="str">
        <f ca="1">IFERROR(INDEX(UNSPSCDes,MATCH(INDIRECT(ADDRESS(ROW(),COLUMN()-1,4)),UNSPSCCode,0)),"")</f>
        <v>Servicios de vocalistas</v>
      </c>
      <c r="C427" s="42" t="s">
        <v>46</v>
      </c>
      <c r="D427" s="42">
        <v>1</v>
      </c>
      <c r="E427" s="45">
        <v>16000</v>
      </c>
      <c r="F427" s="46">
        <f ca="1">INDIRECT(ADDRESS(ROW(),COLUMN()-2,4))*INDIRECT(ADDRESS(ROW(),COLUMN()-1,4))</f>
        <v>16000</v>
      </c>
      <c r="G427" s="50"/>
    </row>
    <row r="428" spans="1:7" x14ac:dyDescent="0.25">
      <c r="A428" s="50"/>
      <c r="B428" s="50"/>
      <c r="C428" s="50"/>
      <c r="D428" s="50"/>
      <c r="E428" s="54" t="s">
        <v>49</v>
      </c>
      <c r="F428" s="49">
        <f ca="1">SUM(Table322[MONTO TOTAL ESTIMADO])</f>
        <v>16000</v>
      </c>
      <c r="G428" s="50"/>
    </row>
    <row r="429" spans="1:7" ht="15.75" thickBot="1" x14ac:dyDescent="0.3">
      <c r="A429" s="50"/>
      <c r="B429" s="50"/>
      <c r="C429" s="50"/>
      <c r="D429" s="50"/>
      <c r="E429" s="55"/>
      <c r="F429" s="60"/>
      <c r="G429" s="57"/>
    </row>
    <row r="430" spans="1:7" ht="34.5" thickBot="1" x14ac:dyDescent="0.3">
      <c r="A430" s="31" t="s">
        <v>18</v>
      </c>
      <c r="B430" s="31" t="s">
        <v>19</v>
      </c>
      <c r="C430" s="31" t="s">
        <v>20</v>
      </c>
      <c r="D430" s="31" t="s">
        <v>21</v>
      </c>
      <c r="E430" s="31" t="s">
        <v>22</v>
      </c>
      <c r="F430" s="31" t="s">
        <v>23</v>
      </c>
      <c r="G430" s="50"/>
    </row>
    <row r="431" spans="1:7" ht="15.75" thickBot="1" x14ac:dyDescent="0.3">
      <c r="A431" s="33" t="s">
        <v>80</v>
      </c>
      <c r="B431" s="33" t="s">
        <v>25</v>
      </c>
      <c r="C431" s="33" t="s">
        <v>26</v>
      </c>
      <c r="D431" s="33" t="s">
        <v>52</v>
      </c>
      <c r="E431" s="33" t="s">
        <v>53</v>
      </c>
      <c r="F431" s="33"/>
      <c r="G431" s="50"/>
    </row>
    <row r="432" spans="1:7" ht="15.75" thickBot="1" x14ac:dyDescent="0.3">
      <c r="A432" s="34" t="s">
        <v>28</v>
      </c>
      <c r="B432" s="35" t="s">
        <v>29</v>
      </c>
      <c r="C432" s="51">
        <v>44965</v>
      </c>
      <c r="D432" s="34" t="s">
        <v>30</v>
      </c>
      <c r="E432" s="35" t="s">
        <v>31</v>
      </c>
      <c r="F432" s="33" t="s">
        <v>32</v>
      </c>
      <c r="G432" s="50"/>
    </row>
    <row r="433" spans="1:7" ht="15.75" thickBot="1" x14ac:dyDescent="0.3">
      <c r="A433" s="39"/>
      <c r="B433" s="35" t="s">
        <v>33</v>
      </c>
      <c r="C433" s="52">
        <f>IF(C432="","",IF(AND(MONTH(C432)&gt;=1,MONTH(C432)&lt;=3),1,IF(AND(MONTH(C432)&gt;=4,MONTH(C432)&lt;=6),2,IF(AND(MONTH(C432)&gt;=7,MONTH(C432)&lt;=9),3,4))))</f>
        <v>1</v>
      </c>
      <c r="D433" s="39"/>
      <c r="E433" s="35" t="s">
        <v>34</v>
      </c>
      <c r="F433" s="33" t="s">
        <v>35</v>
      </c>
      <c r="G433" s="50"/>
    </row>
    <row r="434" spans="1:7" ht="15.75" thickBot="1" x14ac:dyDescent="0.3">
      <c r="A434" s="39"/>
      <c r="B434" s="35" t="s">
        <v>36</v>
      </c>
      <c r="C434" s="51">
        <v>44970</v>
      </c>
      <c r="D434" s="39"/>
      <c r="E434" s="35" t="s">
        <v>37</v>
      </c>
      <c r="F434" s="33" t="s">
        <v>35</v>
      </c>
      <c r="G434" s="50"/>
    </row>
    <row r="435" spans="1:7" ht="15.75" thickBot="1" x14ac:dyDescent="0.3">
      <c r="A435" s="39"/>
      <c r="B435" s="35" t="s">
        <v>33</v>
      </c>
      <c r="C435" s="52">
        <f>IF(C434="","",IF(AND(MONTH(C434)&gt;=1,MONTH(C434)&lt;=3),1,IF(AND(MONTH(C434)&gt;=4,MONTH(C434)&lt;=6),2,IF(AND(MONTH(C434)&gt;=7,MONTH(C434)&lt;=9),3,4))))</f>
        <v>1</v>
      </c>
      <c r="D435" s="39"/>
      <c r="E435" s="35" t="s">
        <v>38</v>
      </c>
      <c r="F435" s="33" t="s">
        <v>35</v>
      </c>
      <c r="G435" s="50"/>
    </row>
    <row r="436" spans="1:7" ht="15.75" thickBot="1" x14ac:dyDescent="0.3">
      <c r="A436" s="50"/>
      <c r="B436" s="50"/>
      <c r="C436" s="50"/>
      <c r="D436" s="50"/>
      <c r="E436" s="50"/>
      <c r="F436" s="50"/>
      <c r="G436" s="50"/>
    </row>
    <row r="437" spans="1:7" ht="15.75" thickBot="1" x14ac:dyDescent="0.3">
      <c r="A437" s="41" t="s">
        <v>39</v>
      </c>
      <c r="B437" s="41" t="s">
        <v>40</v>
      </c>
      <c r="C437" s="41" t="s">
        <v>41</v>
      </c>
      <c r="D437" s="41" t="s">
        <v>42</v>
      </c>
      <c r="E437" s="41" t="s">
        <v>43</v>
      </c>
      <c r="F437" s="41" t="s">
        <v>44</v>
      </c>
      <c r="G437" s="50"/>
    </row>
    <row r="438" spans="1:7" ht="33.75" x14ac:dyDescent="0.25">
      <c r="A438" s="42">
        <v>60121104</v>
      </c>
      <c r="B438" s="43" t="str">
        <f ca="1">IFERROR(INDEX(UNSPSCDes,MATCH(INDIRECT(ADDRESS(ROW(),COLUMN()-1,4)),UNSPSCCode,0)),"")</f>
        <v>Papel bond para para dibujo</v>
      </c>
      <c r="C438" s="42" t="s">
        <v>45</v>
      </c>
      <c r="D438" s="42">
        <v>10</v>
      </c>
      <c r="E438" s="45">
        <v>2237.2800000000002</v>
      </c>
      <c r="F438" s="46">
        <f ca="1">INDIRECT(ADDRESS(ROW(),COLUMN()-2,4))*INDIRECT(ADDRESS(ROW(),COLUMN()-1,4))</f>
        <v>22372.800000000003</v>
      </c>
      <c r="G438" s="50"/>
    </row>
    <row r="439" spans="1:7" x14ac:dyDescent="0.25">
      <c r="A439" s="42">
        <v>11111606</v>
      </c>
      <c r="B439" s="43" t="str">
        <f ca="1">IFERROR(INDEX(UNSPSCDes,MATCH(INDIRECT(ADDRESS(ROW(),COLUMN()-1,4)),UNSPSCCode,0)),"")</f>
        <v>Pizarra</v>
      </c>
      <c r="C439" s="42" t="s">
        <v>46</v>
      </c>
      <c r="D439" s="42">
        <v>1</v>
      </c>
      <c r="E439" s="45">
        <v>1000</v>
      </c>
      <c r="F439" s="46">
        <f ca="1">INDIRECT(ADDRESS(ROW(),COLUMN()-2,4))*INDIRECT(ADDRESS(ROW(),COLUMN()-1,4))</f>
        <v>1000</v>
      </c>
      <c r="G439" s="50"/>
    </row>
    <row r="440" spans="1:7" ht="22.5" x14ac:dyDescent="0.25">
      <c r="A440" s="42">
        <v>44101801</v>
      </c>
      <c r="B440" s="43" t="str">
        <f ca="1">IFERROR(INDEX(UNSPSCDes,MATCH(INDIRECT(ADDRESS(ROW(),COLUMN()-1,4)),UNSPSCCode,0)),"")</f>
        <v>Calculadoras o accesorios</v>
      </c>
      <c r="C440" s="42" t="s">
        <v>46</v>
      </c>
      <c r="D440" s="42">
        <v>5</v>
      </c>
      <c r="E440" s="45">
        <v>900</v>
      </c>
      <c r="F440" s="46">
        <f ca="1">INDIRECT(ADDRESS(ROW(),COLUMN()-2,4))*INDIRECT(ADDRESS(ROW(),COLUMN()-1,4))</f>
        <v>4500</v>
      </c>
      <c r="G440" s="50"/>
    </row>
    <row r="441" spans="1:7" x14ac:dyDescent="0.25">
      <c r="A441" s="50"/>
      <c r="B441" s="50"/>
      <c r="C441" s="50"/>
      <c r="D441" s="50"/>
      <c r="E441" s="54" t="s">
        <v>49</v>
      </c>
      <c r="F441" s="49">
        <f ca="1">SUM(Table323[MONTO TOTAL ESTIMADO])</f>
        <v>27872.800000000003</v>
      </c>
      <c r="G441" s="50"/>
    </row>
    <row r="442" spans="1:7" ht="15.75" thickBot="1" x14ac:dyDescent="0.3">
      <c r="A442" s="50"/>
      <c r="B442" s="50"/>
      <c r="C442" s="50"/>
      <c r="D442" s="50"/>
      <c r="E442" s="55"/>
      <c r="F442" s="60"/>
      <c r="G442" s="57"/>
    </row>
    <row r="443" spans="1:7" ht="34.5" thickBot="1" x14ac:dyDescent="0.3">
      <c r="A443" s="31" t="s">
        <v>18</v>
      </c>
      <c r="B443" s="31" t="s">
        <v>19</v>
      </c>
      <c r="C443" s="31" t="s">
        <v>20</v>
      </c>
      <c r="D443" s="31" t="s">
        <v>21</v>
      </c>
      <c r="E443" s="31" t="s">
        <v>22</v>
      </c>
      <c r="F443" s="31" t="s">
        <v>23</v>
      </c>
      <c r="G443" s="50"/>
    </row>
    <row r="444" spans="1:7" ht="15.75" thickBot="1" x14ac:dyDescent="0.3">
      <c r="A444" s="33" t="s">
        <v>88</v>
      </c>
      <c r="B444" s="33" t="s">
        <v>88</v>
      </c>
      <c r="C444" s="33" t="s">
        <v>26</v>
      </c>
      <c r="D444" s="33" t="s">
        <v>52</v>
      </c>
      <c r="E444" s="33" t="s">
        <v>62</v>
      </c>
      <c r="F444" s="33"/>
      <c r="G444" s="50"/>
    </row>
    <row r="445" spans="1:7" ht="15.75" thickBot="1" x14ac:dyDescent="0.3">
      <c r="A445" s="34" t="s">
        <v>28</v>
      </c>
      <c r="B445" s="35" t="s">
        <v>29</v>
      </c>
      <c r="C445" s="51">
        <v>45005</v>
      </c>
      <c r="D445" s="34" t="s">
        <v>30</v>
      </c>
      <c r="E445" s="35" t="s">
        <v>31</v>
      </c>
      <c r="F445" s="33" t="s">
        <v>32</v>
      </c>
      <c r="G445" s="50"/>
    </row>
    <row r="446" spans="1:7" ht="15.75" thickBot="1" x14ac:dyDescent="0.3">
      <c r="A446" s="39"/>
      <c r="B446" s="35" t="s">
        <v>33</v>
      </c>
      <c r="C446" s="52">
        <f>IF(C445="","",IF(AND(MONTH(C445)&gt;=1,MONTH(C445)&lt;=3),1,IF(AND(MONTH(C445)&gt;=4,MONTH(C445)&lt;=6),2,IF(AND(MONTH(C445)&gt;=7,MONTH(C445)&lt;=9),3,4))))</f>
        <v>1</v>
      </c>
      <c r="D446" s="39"/>
      <c r="E446" s="35" t="s">
        <v>34</v>
      </c>
      <c r="F446" s="33" t="s">
        <v>35</v>
      </c>
      <c r="G446" s="50"/>
    </row>
    <row r="447" spans="1:7" ht="15.75" thickBot="1" x14ac:dyDescent="0.3">
      <c r="A447" s="39"/>
      <c r="B447" s="35" t="s">
        <v>36</v>
      </c>
      <c r="C447" s="51">
        <v>45009</v>
      </c>
      <c r="D447" s="39"/>
      <c r="E447" s="35" t="s">
        <v>37</v>
      </c>
      <c r="F447" s="33" t="s">
        <v>35</v>
      </c>
      <c r="G447" s="50"/>
    </row>
    <row r="448" spans="1:7" ht="15.75" thickBot="1" x14ac:dyDescent="0.3">
      <c r="A448" s="39"/>
      <c r="B448" s="35" t="s">
        <v>33</v>
      </c>
      <c r="C448" s="52">
        <f>IF(C447="","",IF(AND(MONTH(C447)&gt;=1,MONTH(C447)&lt;=3),1,IF(AND(MONTH(C447)&gt;=4,MONTH(C447)&lt;=6),2,IF(AND(MONTH(C447)&gt;=7,MONTH(C447)&lt;=9),3,4))))</f>
        <v>1</v>
      </c>
      <c r="D448" s="39"/>
      <c r="E448" s="35" t="s">
        <v>38</v>
      </c>
      <c r="F448" s="33" t="s">
        <v>35</v>
      </c>
      <c r="G448" s="50"/>
    </row>
    <row r="449" spans="1:7" ht="15.75" thickBot="1" x14ac:dyDescent="0.3">
      <c r="A449" s="50"/>
      <c r="B449" s="50"/>
      <c r="C449" s="50"/>
      <c r="D449" s="50"/>
      <c r="E449" s="50"/>
      <c r="F449" s="50"/>
      <c r="G449" s="50"/>
    </row>
    <row r="450" spans="1:7" ht="15.75" thickBot="1" x14ac:dyDescent="0.3">
      <c r="A450" s="41" t="s">
        <v>39</v>
      </c>
      <c r="B450" s="41" t="s">
        <v>40</v>
      </c>
      <c r="C450" s="41" t="s">
        <v>41</v>
      </c>
      <c r="D450" s="41" t="s">
        <v>42</v>
      </c>
      <c r="E450" s="41" t="s">
        <v>43</v>
      </c>
      <c r="F450" s="41" t="s">
        <v>44</v>
      </c>
      <c r="G450" s="50"/>
    </row>
    <row r="451" spans="1:7" ht="22.5" x14ac:dyDescent="0.25">
      <c r="A451" s="42">
        <v>14111815</v>
      </c>
      <c r="B451" s="43" t="str">
        <f ca="1">IFERROR(INDEX(UNSPSCDes,MATCH(INDIRECT(ADDRESS(ROW(),COLUMN()-1,4)),UNSPSCCode,0)),"")</f>
        <v>Tarjetas de identificación</v>
      </c>
      <c r="C451" s="42" t="s">
        <v>46</v>
      </c>
      <c r="D451" s="42">
        <v>500</v>
      </c>
      <c r="E451" s="45">
        <v>75</v>
      </c>
      <c r="F451" s="46">
        <f ca="1">INDIRECT(ADDRESS(ROW(),COLUMN()-2,4))*INDIRECT(ADDRESS(ROW(),COLUMN()-1,4))</f>
        <v>37500</v>
      </c>
      <c r="G451" s="50"/>
    </row>
    <row r="452" spans="1:7" x14ac:dyDescent="0.25">
      <c r="A452" s="50"/>
      <c r="B452" s="50"/>
      <c r="C452" s="50"/>
      <c r="D452" s="50"/>
      <c r="E452" s="54" t="s">
        <v>49</v>
      </c>
      <c r="F452" s="49">
        <f ca="1">SUM(Table324[MONTO TOTAL ESTIMADO])</f>
        <v>37500</v>
      </c>
      <c r="G452" s="50"/>
    </row>
    <row r="453" spans="1:7" ht="15.75" thickBot="1" x14ac:dyDescent="0.3">
      <c r="A453" s="50"/>
      <c r="B453" s="50"/>
      <c r="C453" s="50"/>
      <c r="D453" s="50"/>
      <c r="E453" s="55"/>
      <c r="F453" s="60"/>
      <c r="G453" s="57"/>
    </row>
    <row r="454" spans="1:7" ht="34.5" thickBot="1" x14ac:dyDescent="0.3">
      <c r="A454" s="31" t="s">
        <v>18</v>
      </c>
      <c r="B454" s="31" t="s">
        <v>19</v>
      </c>
      <c r="C454" s="31" t="s">
        <v>20</v>
      </c>
      <c r="D454" s="31" t="s">
        <v>21</v>
      </c>
      <c r="E454" s="31" t="s">
        <v>22</v>
      </c>
      <c r="F454" s="31" t="s">
        <v>23</v>
      </c>
      <c r="G454" s="50"/>
    </row>
    <row r="455" spans="1:7" ht="15.75" thickBot="1" x14ac:dyDescent="0.3">
      <c r="A455" s="33" t="s">
        <v>89</v>
      </c>
      <c r="B455" s="33" t="s">
        <v>90</v>
      </c>
      <c r="C455" s="33" t="s">
        <v>74</v>
      </c>
      <c r="D455" s="33" t="s">
        <v>52</v>
      </c>
      <c r="E455" s="33" t="s">
        <v>53</v>
      </c>
      <c r="F455" s="33"/>
      <c r="G455" s="50"/>
    </row>
    <row r="456" spans="1:7" ht="15.75" thickBot="1" x14ac:dyDescent="0.3">
      <c r="A456" s="34" t="s">
        <v>28</v>
      </c>
      <c r="B456" s="35" t="s">
        <v>29</v>
      </c>
      <c r="C456" s="51">
        <v>44963</v>
      </c>
      <c r="D456" s="34" t="s">
        <v>30</v>
      </c>
      <c r="E456" s="35" t="s">
        <v>31</v>
      </c>
      <c r="F456" s="33" t="s">
        <v>32</v>
      </c>
      <c r="G456" s="50"/>
    </row>
    <row r="457" spans="1:7" ht="15.75" thickBot="1" x14ac:dyDescent="0.3">
      <c r="A457" s="39"/>
      <c r="B457" s="35" t="s">
        <v>33</v>
      </c>
      <c r="C457" s="52">
        <f>IF(C456="","",IF(AND(MONTH(C456)&gt;=1,MONTH(C456)&lt;=3),1,IF(AND(MONTH(C456)&gt;=4,MONTH(C456)&lt;=6),2,IF(AND(MONTH(C456)&gt;=7,MONTH(C456)&lt;=9),3,4))))</f>
        <v>1</v>
      </c>
      <c r="D457" s="39"/>
      <c r="E457" s="35" t="s">
        <v>34</v>
      </c>
      <c r="F457" s="33" t="s">
        <v>35</v>
      </c>
      <c r="G457" s="50"/>
    </row>
    <row r="458" spans="1:7" ht="15.75" thickBot="1" x14ac:dyDescent="0.3">
      <c r="A458" s="39"/>
      <c r="B458" s="35" t="s">
        <v>36</v>
      </c>
      <c r="C458" s="51">
        <v>44967</v>
      </c>
      <c r="D458" s="39"/>
      <c r="E458" s="35" t="s">
        <v>37</v>
      </c>
      <c r="F458" s="33" t="s">
        <v>35</v>
      </c>
      <c r="G458" s="50"/>
    </row>
    <row r="459" spans="1:7" ht="15.75" thickBot="1" x14ac:dyDescent="0.3">
      <c r="A459" s="39"/>
      <c r="B459" s="35" t="s">
        <v>33</v>
      </c>
      <c r="C459" s="52">
        <f>IF(C458="","",IF(AND(MONTH(C458)&gt;=1,MONTH(C458)&lt;=3),1,IF(AND(MONTH(C458)&gt;=4,MONTH(C458)&lt;=6),2,IF(AND(MONTH(C458)&gt;=7,MONTH(C458)&lt;=9),3,4))))</f>
        <v>1</v>
      </c>
      <c r="D459" s="39"/>
      <c r="E459" s="35" t="s">
        <v>38</v>
      </c>
      <c r="F459" s="33" t="s">
        <v>35</v>
      </c>
      <c r="G459" s="50"/>
    </row>
    <row r="460" spans="1:7" ht="15.75" thickBot="1" x14ac:dyDescent="0.3">
      <c r="A460" s="50"/>
      <c r="B460" s="50"/>
      <c r="C460" s="50"/>
      <c r="D460" s="50"/>
      <c r="E460" s="50"/>
      <c r="F460" s="50"/>
      <c r="G460" s="50"/>
    </row>
    <row r="461" spans="1:7" ht="15.75" thickBot="1" x14ac:dyDescent="0.3">
      <c r="A461" s="41" t="s">
        <v>39</v>
      </c>
      <c r="B461" s="41" t="s">
        <v>40</v>
      </c>
      <c r="C461" s="41" t="s">
        <v>41</v>
      </c>
      <c r="D461" s="41" t="s">
        <v>42</v>
      </c>
      <c r="E461" s="41" t="s">
        <v>43</v>
      </c>
      <c r="F461" s="41" t="s">
        <v>44</v>
      </c>
      <c r="G461" s="50"/>
    </row>
    <row r="462" spans="1:7" ht="33.75" x14ac:dyDescent="0.25">
      <c r="A462" s="42">
        <v>50192701</v>
      </c>
      <c r="B462" s="43" t="str">
        <f ca="1">IFERROR(INDEX(UNSPSCDes,MATCH(INDIRECT(ADDRESS(ROW(),COLUMN()-1,4)),UNSPSCCode,0)),"")</f>
        <v>Comidas combinadas frescas</v>
      </c>
      <c r="C462" s="42" t="s">
        <v>46</v>
      </c>
      <c r="D462" s="42">
        <v>50</v>
      </c>
      <c r="E462" s="45">
        <v>275</v>
      </c>
      <c r="F462" s="46">
        <f ca="1">INDIRECT(ADDRESS(ROW(),COLUMN()-2,4))*INDIRECT(ADDRESS(ROW(),COLUMN()-1,4))</f>
        <v>13750</v>
      </c>
      <c r="G462" s="50"/>
    </row>
    <row r="463" spans="1:7" x14ac:dyDescent="0.25">
      <c r="A463" s="50"/>
      <c r="B463" s="50"/>
      <c r="C463" s="50"/>
      <c r="D463" s="50"/>
      <c r="E463" s="54" t="s">
        <v>49</v>
      </c>
      <c r="F463" s="49">
        <f ca="1">SUM(Table325[MONTO TOTAL ESTIMADO])</f>
        <v>13750</v>
      </c>
      <c r="G463" s="50"/>
    </row>
    <row r="464" spans="1:7" ht="15.75" thickBot="1" x14ac:dyDescent="0.3">
      <c r="A464" s="50"/>
      <c r="B464" s="50"/>
      <c r="C464" s="50"/>
      <c r="D464" s="50"/>
      <c r="E464" s="55"/>
      <c r="F464" s="60"/>
      <c r="G464" s="57"/>
    </row>
    <row r="465" spans="1:7" ht="34.5" thickBot="1" x14ac:dyDescent="0.3">
      <c r="A465" s="31" t="s">
        <v>18</v>
      </c>
      <c r="B465" s="31" t="s">
        <v>19</v>
      </c>
      <c r="C465" s="31" t="s">
        <v>20</v>
      </c>
      <c r="D465" s="31" t="s">
        <v>21</v>
      </c>
      <c r="E465" s="31" t="s">
        <v>22</v>
      </c>
      <c r="F465" s="31" t="s">
        <v>23</v>
      </c>
      <c r="G465" s="50"/>
    </row>
    <row r="466" spans="1:7" ht="15.75" thickBot="1" x14ac:dyDescent="0.3">
      <c r="A466" s="33" t="s">
        <v>91</v>
      </c>
      <c r="B466" s="33" t="s">
        <v>92</v>
      </c>
      <c r="C466" s="33" t="s">
        <v>74</v>
      </c>
      <c r="D466" s="33" t="s">
        <v>52</v>
      </c>
      <c r="E466" s="33" t="s">
        <v>62</v>
      </c>
      <c r="F466" s="33"/>
      <c r="G466" s="50"/>
    </row>
    <row r="467" spans="1:7" ht="15.75" thickBot="1" x14ac:dyDescent="0.3">
      <c r="A467" s="34" t="s">
        <v>28</v>
      </c>
      <c r="B467" s="35" t="s">
        <v>29</v>
      </c>
      <c r="C467" s="51">
        <v>44974</v>
      </c>
      <c r="D467" s="34" t="s">
        <v>30</v>
      </c>
      <c r="E467" s="35" t="s">
        <v>31</v>
      </c>
      <c r="F467" s="33" t="s">
        <v>32</v>
      </c>
      <c r="G467" s="50"/>
    </row>
    <row r="468" spans="1:7" ht="15.75" thickBot="1" x14ac:dyDescent="0.3">
      <c r="A468" s="39"/>
      <c r="B468" s="35" t="s">
        <v>33</v>
      </c>
      <c r="C468" s="52">
        <f>IF(C467="","",IF(AND(MONTH(C467)&gt;=1,MONTH(C467)&lt;=3),1,IF(AND(MONTH(C467)&gt;=4,MONTH(C467)&lt;=6),2,IF(AND(MONTH(C467)&gt;=7,MONTH(C467)&lt;=9),3,4))))</f>
        <v>1</v>
      </c>
      <c r="D468" s="39"/>
      <c r="E468" s="35" t="s">
        <v>34</v>
      </c>
      <c r="F468" s="33" t="s">
        <v>35</v>
      </c>
      <c r="G468" s="50"/>
    </row>
    <row r="469" spans="1:7" ht="15.75" thickBot="1" x14ac:dyDescent="0.3">
      <c r="A469" s="39"/>
      <c r="B469" s="35" t="s">
        <v>36</v>
      </c>
      <c r="C469" s="51">
        <v>44979</v>
      </c>
      <c r="D469" s="39"/>
      <c r="E469" s="35" t="s">
        <v>37</v>
      </c>
      <c r="F469" s="33" t="s">
        <v>35</v>
      </c>
      <c r="G469" s="50"/>
    </row>
    <row r="470" spans="1:7" ht="15.75" thickBot="1" x14ac:dyDescent="0.3">
      <c r="A470" s="39"/>
      <c r="B470" s="35" t="s">
        <v>33</v>
      </c>
      <c r="C470" s="52">
        <f>IF(C469="","",IF(AND(MONTH(C469)&gt;=1,MONTH(C469)&lt;=3),1,IF(AND(MONTH(C469)&gt;=4,MONTH(C469)&lt;=6),2,IF(AND(MONTH(C469)&gt;=7,MONTH(C469)&lt;=9),3,4))))</f>
        <v>1</v>
      </c>
      <c r="D470" s="39"/>
      <c r="E470" s="35" t="s">
        <v>38</v>
      </c>
      <c r="F470" s="33" t="s">
        <v>35</v>
      </c>
      <c r="G470" s="50"/>
    </row>
    <row r="471" spans="1:7" ht="15.75" thickBot="1" x14ac:dyDescent="0.3">
      <c r="A471" s="50"/>
      <c r="B471" s="50"/>
      <c r="C471" s="50"/>
      <c r="D471" s="50"/>
      <c r="E471" s="50"/>
      <c r="F471" s="50"/>
      <c r="G471" s="50"/>
    </row>
    <row r="472" spans="1:7" ht="15.75" thickBot="1" x14ac:dyDescent="0.3">
      <c r="A472" s="41" t="s">
        <v>39</v>
      </c>
      <c r="B472" s="41" t="s">
        <v>40</v>
      </c>
      <c r="C472" s="41" t="s">
        <v>41</v>
      </c>
      <c r="D472" s="41" t="s">
        <v>42</v>
      </c>
      <c r="E472" s="41" t="s">
        <v>43</v>
      </c>
      <c r="F472" s="41" t="s">
        <v>44</v>
      </c>
      <c r="G472" s="50"/>
    </row>
    <row r="473" spans="1:7" ht="33.75" x14ac:dyDescent="0.25">
      <c r="A473" s="42">
        <v>53103001</v>
      </c>
      <c r="B473" s="43" t="str">
        <f ca="1">IFERROR(INDEX(UNSPSCDes,MATCH(INDIRECT(ADDRESS(ROW(),COLUMN()-1,4)),UNSPSCCode,0)),"")</f>
        <v>Camisetas (t-shirts) para hombre</v>
      </c>
      <c r="C473" s="42" t="s">
        <v>46</v>
      </c>
      <c r="D473" s="42">
        <v>50</v>
      </c>
      <c r="E473" s="45">
        <v>700</v>
      </c>
      <c r="F473" s="46">
        <f ca="1">INDIRECT(ADDRESS(ROW(),COLUMN()-2,4))*INDIRECT(ADDRESS(ROW(),COLUMN()-1,4))</f>
        <v>35000</v>
      </c>
      <c r="G473" s="50"/>
    </row>
    <row r="474" spans="1:7" x14ac:dyDescent="0.25">
      <c r="A474" s="50"/>
      <c r="B474" s="50"/>
      <c r="C474" s="50"/>
      <c r="D474" s="50"/>
      <c r="E474" s="54" t="s">
        <v>49</v>
      </c>
      <c r="F474" s="49">
        <f ca="1">SUM(Table326[MONTO TOTAL ESTIMADO])</f>
        <v>35000</v>
      </c>
      <c r="G474" s="50"/>
    </row>
    <row r="475" spans="1:7" ht="15.75" thickBot="1" x14ac:dyDescent="0.3">
      <c r="A475" s="50"/>
      <c r="B475" s="50"/>
      <c r="C475" s="50"/>
      <c r="D475" s="50"/>
      <c r="E475" s="55"/>
      <c r="F475" s="60"/>
      <c r="G475" s="57"/>
    </row>
    <row r="476" spans="1:7" ht="34.5" thickBot="1" x14ac:dyDescent="0.3">
      <c r="A476" s="31" t="s">
        <v>18</v>
      </c>
      <c r="B476" s="31" t="s">
        <v>19</v>
      </c>
      <c r="C476" s="31" t="s">
        <v>20</v>
      </c>
      <c r="D476" s="31" t="s">
        <v>21</v>
      </c>
      <c r="E476" s="31" t="s">
        <v>22</v>
      </c>
      <c r="F476" s="31" t="s">
        <v>23</v>
      </c>
      <c r="G476" s="50"/>
    </row>
    <row r="477" spans="1:7" ht="15.75" thickBot="1" x14ac:dyDescent="0.3">
      <c r="A477" s="33" t="s">
        <v>93</v>
      </c>
      <c r="B477" s="33" t="s">
        <v>94</v>
      </c>
      <c r="C477" s="33" t="s">
        <v>26</v>
      </c>
      <c r="D477" s="33" t="s">
        <v>52</v>
      </c>
      <c r="E477" s="33" t="s">
        <v>56</v>
      </c>
      <c r="F477" s="33"/>
      <c r="G477" s="50"/>
    </row>
    <row r="478" spans="1:7" ht="15.75" thickBot="1" x14ac:dyDescent="0.3">
      <c r="A478" s="34" t="s">
        <v>28</v>
      </c>
      <c r="B478" s="35" t="s">
        <v>29</v>
      </c>
      <c r="C478" s="51">
        <v>44944</v>
      </c>
      <c r="D478" s="34" t="s">
        <v>30</v>
      </c>
      <c r="E478" s="35" t="s">
        <v>31</v>
      </c>
      <c r="F478" s="33" t="s">
        <v>32</v>
      </c>
      <c r="G478" s="50"/>
    </row>
    <row r="479" spans="1:7" ht="15.75" thickBot="1" x14ac:dyDescent="0.3">
      <c r="A479" s="39"/>
      <c r="B479" s="35" t="s">
        <v>33</v>
      </c>
      <c r="C479" s="52">
        <f>IF(C478="","",IF(AND(MONTH(C478)&gt;=1,MONTH(C478)&lt;=3),1,IF(AND(MONTH(C478)&gt;=4,MONTH(C478)&lt;=6),2,IF(AND(MONTH(C478)&gt;=7,MONTH(C478)&lt;=9),3,4))))</f>
        <v>1</v>
      </c>
      <c r="D479" s="39"/>
      <c r="E479" s="35" t="s">
        <v>34</v>
      </c>
      <c r="F479" s="33" t="s">
        <v>35</v>
      </c>
      <c r="G479" s="50"/>
    </row>
    <row r="480" spans="1:7" ht="15.75" thickBot="1" x14ac:dyDescent="0.3">
      <c r="A480" s="39"/>
      <c r="B480" s="35" t="s">
        <v>36</v>
      </c>
      <c r="C480" s="51">
        <v>44950</v>
      </c>
      <c r="D480" s="39"/>
      <c r="E480" s="35" t="s">
        <v>37</v>
      </c>
      <c r="F480" s="33" t="s">
        <v>35</v>
      </c>
      <c r="G480" s="50"/>
    </row>
    <row r="481" spans="1:7" ht="15.75" thickBot="1" x14ac:dyDescent="0.3">
      <c r="A481" s="39"/>
      <c r="B481" s="35" t="s">
        <v>33</v>
      </c>
      <c r="C481" s="52">
        <f>IF(C480="","",IF(AND(MONTH(C480)&gt;=1,MONTH(C480)&lt;=3),1,IF(AND(MONTH(C480)&gt;=4,MONTH(C480)&lt;=6),2,IF(AND(MONTH(C480)&gt;=7,MONTH(C480)&lt;=9),3,4))))</f>
        <v>1</v>
      </c>
      <c r="D481" s="39"/>
      <c r="E481" s="35" t="s">
        <v>38</v>
      </c>
      <c r="F481" s="33" t="s">
        <v>35</v>
      </c>
      <c r="G481" s="50"/>
    </row>
    <row r="482" spans="1:7" ht="15.75" thickBot="1" x14ac:dyDescent="0.3">
      <c r="A482" s="50"/>
      <c r="B482" s="50"/>
      <c r="C482" s="50"/>
      <c r="D482" s="50"/>
      <c r="E482" s="50"/>
      <c r="F482" s="50"/>
      <c r="G482" s="50"/>
    </row>
    <row r="483" spans="1:7" ht="15.75" thickBot="1" x14ac:dyDescent="0.3">
      <c r="A483" s="41" t="s">
        <v>39</v>
      </c>
      <c r="B483" s="41" t="s">
        <v>40</v>
      </c>
      <c r="C483" s="41" t="s">
        <v>41</v>
      </c>
      <c r="D483" s="41" t="s">
        <v>42</v>
      </c>
      <c r="E483" s="41" t="s">
        <v>43</v>
      </c>
      <c r="F483" s="41" t="s">
        <v>44</v>
      </c>
      <c r="G483" s="50"/>
    </row>
    <row r="484" spans="1:7" ht="33.75" x14ac:dyDescent="0.25">
      <c r="A484" s="42">
        <v>43232101</v>
      </c>
      <c r="B484" s="43" t="str">
        <f ca="1">IFERROR(INDEX(UNSPSCDes,MATCH(INDIRECT(ADDRESS(ROW(),COLUMN()-1,4)),UNSPSCCode,0)),"")</f>
        <v>Software de diseño de patrones</v>
      </c>
      <c r="C484" s="42" t="s">
        <v>46</v>
      </c>
      <c r="D484" s="42">
        <v>1</v>
      </c>
      <c r="E484" s="45">
        <v>12000</v>
      </c>
      <c r="F484" s="46">
        <f ca="1">INDIRECT(ADDRESS(ROW(),COLUMN()-2,4))*INDIRECT(ADDRESS(ROW(),COLUMN()-1,4))</f>
        <v>12000</v>
      </c>
      <c r="G484" s="50"/>
    </row>
    <row r="485" spans="1:7" ht="33.75" x14ac:dyDescent="0.25">
      <c r="A485" s="42">
        <v>43232101</v>
      </c>
      <c r="B485" s="43" t="str">
        <f ca="1">IFERROR(INDEX(UNSPSCDes,MATCH(INDIRECT(ADDRESS(ROW(),COLUMN()-1,4)),UNSPSCCode,0)),"")</f>
        <v>Software de diseño de patrones</v>
      </c>
      <c r="C485" s="42" t="s">
        <v>46</v>
      </c>
      <c r="D485" s="42">
        <v>1</v>
      </c>
      <c r="E485" s="45">
        <v>33300</v>
      </c>
      <c r="F485" s="46">
        <f ca="1">INDIRECT(ADDRESS(ROW(),COLUMN()-2,4))*INDIRECT(ADDRESS(ROW(),COLUMN()-1,4))</f>
        <v>33300</v>
      </c>
      <c r="G485" s="50"/>
    </row>
    <row r="486" spans="1:7" x14ac:dyDescent="0.25">
      <c r="A486" s="50"/>
      <c r="B486" s="50"/>
      <c r="C486" s="50"/>
      <c r="D486" s="50"/>
      <c r="E486" s="54" t="s">
        <v>49</v>
      </c>
      <c r="F486" s="49">
        <f ca="1">SUM(Table327[MONTO TOTAL ESTIMADO])</f>
        <v>45300</v>
      </c>
      <c r="G486" s="50"/>
    </row>
    <row r="487" spans="1:7" ht="15.75" thickBot="1" x14ac:dyDescent="0.3">
      <c r="A487" s="50"/>
      <c r="B487" s="50"/>
      <c r="C487" s="50"/>
      <c r="D487" s="50"/>
      <c r="E487" s="55"/>
      <c r="F487" s="60"/>
      <c r="G487" s="57"/>
    </row>
    <row r="488" spans="1:7" ht="34.5" thickBot="1" x14ac:dyDescent="0.3">
      <c r="A488" s="31" t="s">
        <v>18</v>
      </c>
      <c r="B488" s="31" t="s">
        <v>19</v>
      </c>
      <c r="C488" s="31" t="s">
        <v>20</v>
      </c>
      <c r="D488" s="31" t="s">
        <v>21</v>
      </c>
      <c r="E488" s="31" t="s">
        <v>22</v>
      </c>
      <c r="F488" s="31" t="s">
        <v>23</v>
      </c>
      <c r="G488" s="50"/>
    </row>
    <row r="489" spans="1:7" ht="15.75" thickBot="1" x14ac:dyDescent="0.3">
      <c r="A489" s="33" t="s">
        <v>50</v>
      </c>
      <c r="B489" s="33" t="s">
        <v>95</v>
      </c>
      <c r="C489" s="33" t="s">
        <v>26</v>
      </c>
      <c r="D489" s="33" t="s">
        <v>52</v>
      </c>
      <c r="E489" s="33" t="s">
        <v>53</v>
      </c>
      <c r="F489" s="33"/>
      <c r="G489" s="50"/>
    </row>
    <row r="490" spans="1:7" ht="15.75" thickBot="1" x14ac:dyDescent="0.3">
      <c r="A490" s="34" t="s">
        <v>28</v>
      </c>
      <c r="B490" s="35" t="s">
        <v>29</v>
      </c>
      <c r="C490" s="51">
        <v>44931</v>
      </c>
      <c r="D490" s="34" t="s">
        <v>30</v>
      </c>
      <c r="E490" s="35" t="s">
        <v>31</v>
      </c>
      <c r="F490" s="33" t="s">
        <v>32</v>
      </c>
      <c r="G490" s="50"/>
    </row>
    <row r="491" spans="1:7" ht="15.75" thickBot="1" x14ac:dyDescent="0.3">
      <c r="A491" s="39"/>
      <c r="B491" s="35" t="s">
        <v>33</v>
      </c>
      <c r="C491" s="52">
        <f>IF(C490="","",IF(AND(MONTH(C490)&gt;=1,MONTH(C490)&lt;=3),1,IF(AND(MONTH(C490)&gt;=4,MONTH(C490)&lt;=6),2,IF(AND(MONTH(C490)&gt;=7,MONTH(C490)&lt;=9),3,4))))</f>
        <v>1</v>
      </c>
      <c r="D491" s="39"/>
      <c r="E491" s="35" t="s">
        <v>34</v>
      </c>
      <c r="F491" s="33" t="s">
        <v>35</v>
      </c>
      <c r="G491" s="50"/>
    </row>
    <row r="492" spans="1:7" ht="15.75" thickBot="1" x14ac:dyDescent="0.3">
      <c r="A492" s="39"/>
      <c r="B492" s="35" t="s">
        <v>36</v>
      </c>
      <c r="C492" s="51">
        <v>44936</v>
      </c>
      <c r="D492" s="39"/>
      <c r="E492" s="35" t="s">
        <v>37</v>
      </c>
      <c r="F492" s="33" t="s">
        <v>35</v>
      </c>
      <c r="G492" s="50"/>
    </row>
    <row r="493" spans="1:7" ht="15.75" thickBot="1" x14ac:dyDescent="0.3">
      <c r="A493" s="39"/>
      <c r="B493" s="35" t="s">
        <v>33</v>
      </c>
      <c r="C493" s="52">
        <f>IF(C492="","",IF(AND(MONTH(C492)&gt;=1,MONTH(C492)&lt;=3),1,IF(AND(MONTH(C492)&gt;=4,MONTH(C492)&lt;=6),2,IF(AND(MONTH(C492)&gt;=7,MONTH(C492)&lt;=9),3,4))))</f>
        <v>1</v>
      </c>
      <c r="D493" s="39"/>
      <c r="E493" s="35" t="s">
        <v>38</v>
      </c>
      <c r="F493" s="33" t="s">
        <v>35</v>
      </c>
      <c r="G493" s="50"/>
    </row>
    <row r="494" spans="1:7" ht="15.75" thickBot="1" x14ac:dyDescent="0.3">
      <c r="A494" s="50"/>
      <c r="B494" s="50"/>
      <c r="C494" s="50"/>
      <c r="D494" s="50"/>
      <c r="E494" s="50"/>
      <c r="F494" s="50"/>
      <c r="G494" s="50"/>
    </row>
    <row r="495" spans="1:7" ht="15.75" thickBot="1" x14ac:dyDescent="0.3">
      <c r="A495" s="41" t="s">
        <v>39</v>
      </c>
      <c r="B495" s="41" t="s">
        <v>40</v>
      </c>
      <c r="C495" s="41" t="s">
        <v>41</v>
      </c>
      <c r="D495" s="41" t="s">
        <v>42</v>
      </c>
      <c r="E495" s="41" t="s">
        <v>43</v>
      </c>
      <c r="F495" s="41" t="s">
        <v>44</v>
      </c>
      <c r="G495" s="50"/>
    </row>
    <row r="496" spans="1:7" x14ac:dyDescent="0.25">
      <c r="A496" s="42">
        <v>50201711</v>
      </c>
      <c r="B496" s="43" t="str">
        <f ca="1">IFERROR(INDEX(UNSPSCDes,MATCH(INDIRECT(ADDRESS(ROW(),COLUMN()-1,4)),UNSPSCCode,0)),"")</f>
        <v>Té instantáneo</v>
      </c>
      <c r="C496" s="42" t="s">
        <v>46</v>
      </c>
      <c r="D496" s="42">
        <v>2</v>
      </c>
      <c r="E496" s="45">
        <v>300</v>
      </c>
      <c r="F496" s="46">
        <f ca="1">INDIRECT(ADDRESS(ROW(),COLUMN()-2,4))*INDIRECT(ADDRESS(ROW(),COLUMN()-1,4))</f>
        <v>600</v>
      </c>
      <c r="G496" s="50"/>
    </row>
    <row r="497" spans="1:7" x14ac:dyDescent="0.25">
      <c r="A497" s="50"/>
      <c r="B497" s="50"/>
      <c r="C497" s="50"/>
      <c r="D497" s="50"/>
      <c r="E497" s="54" t="s">
        <v>49</v>
      </c>
      <c r="F497" s="49">
        <f ca="1">SUM(Table328[MONTO TOTAL ESTIMADO])</f>
        <v>600</v>
      </c>
      <c r="G497" s="50"/>
    </row>
    <row r="498" spans="1:7" ht="15.75" thickBot="1" x14ac:dyDescent="0.3">
      <c r="A498" s="50"/>
      <c r="B498" s="50"/>
      <c r="C498" s="50"/>
      <c r="D498" s="50"/>
      <c r="E498" s="55"/>
      <c r="F498" s="60"/>
      <c r="G498" s="57"/>
    </row>
    <row r="499" spans="1:7" ht="34.5" thickBot="1" x14ac:dyDescent="0.3">
      <c r="A499" s="31" t="s">
        <v>18</v>
      </c>
      <c r="B499" s="31" t="s">
        <v>19</v>
      </c>
      <c r="C499" s="31" t="s">
        <v>20</v>
      </c>
      <c r="D499" s="31" t="s">
        <v>21</v>
      </c>
      <c r="E499" s="31" t="s">
        <v>22</v>
      </c>
      <c r="F499" s="31" t="s">
        <v>23</v>
      </c>
      <c r="G499" s="50"/>
    </row>
    <row r="500" spans="1:7" ht="15.75" thickBot="1" x14ac:dyDescent="0.3">
      <c r="A500" s="33" t="s">
        <v>50</v>
      </c>
      <c r="B500" s="33" t="s">
        <v>95</v>
      </c>
      <c r="C500" s="33" t="s">
        <v>26</v>
      </c>
      <c r="D500" s="33" t="s">
        <v>52</v>
      </c>
      <c r="E500" s="33" t="s">
        <v>53</v>
      </c>
      <c r="F500" s="33"/>
      <c r="G500" s="50"/>
    </row>
    <row r="501" spans="1:7" ht="15.75" thickBot="1" x14ac:dyDescent="0.3">
      <c r="A501" s="34" t="s">
        <v>28</v>
      </c>
      <c r="B501" s="35" t="s">
        <v>29</v>
      </c>
      <c r="C501" s="51">
        <v>44970</v>
      </c>
      <c r="D501" s="34" t="s">
        <v>30</v>
      </c>
      <c r="E501" s="35" t="s">
        <v>31</v>
      </c>
      <c r="F501" s="33" t="s">
        <v>32</v>
      </c>
      <c r="G501" s="50"/>
    </row>
    <row r="502" spans="1:7" ht="15.75" thickBot="1" x14ac:dyDescent="0.3">
      <c r="A502" s="39"/>
      <c r="B502" s="35" t="s">
        <v>33</v>
      </c>
      <c r="C502" s="52">
        <f>IF(C501="","",IF(AND(MONTH(C501)&gt;=1,MONTH(C501)&lt;=3),1,IF(AND(MONTH(C501)&gt;=4,MONTH(C501)&lt;=6),2,IF(AND(MONTH(C501)&gt;=7,MONTH(C501)&lt;=9),3,4))))</f>
        <v>1</v>
      </c>
      <c r="D502" s="39"/>
      <c r="E502" s="35" t="s">
        <v>34</v>
      </c>
      <c r="F502" s="33" t="s">
        <v>35</v>
      </c>
      <c r="G502" s="50"/>
    </row>
    <row r="503" spans="1:7" ht="15.75" thickBot="1" x14ac:dyDescent="0.3">
      <c r="A503" s="39"/>
      <c r="B503" s="35" t="s">
        <v>36</v>
      </c>
      <c r="C503" s="51">
        <v>44973</v>
      </c>
      <c r="D503" s="39"/>
      <c r="E503" s="35" t="s">
        <v>37</v>
      </c>
      <c r="F503" s="33" t="s">
        <v>35</v>
      </c>
      <c r="G503" s="50"/>
    </row>
    <row r="504" spans="1:7" ht="15.75" thickBot="1" x14ac:dyDescent="0.3">
      <c r="A504" s="39"/>
      <c r="B504" s="35" t="s">
        <v>33</v>
      </c>
      <c r="C504" s="52">
        <f>IF(C503="","",IF(AND(MONTH(C503)&gt;=1,MONTH(C503)&lt;=3),1,IF(AND(MONTH(C503)&gt;=4,MONTH(C503)&lt;=6),2,IF(AND(MONTH(C503)&gt;=7,MONTH(C503)&lt;=9),3,4))))</f>
        <v>1</v>
      </c>
      <c r="D504" s="39"/>
      <c r="E504" s="35" t="s">
        <v>38</v>
      </c>
      <c r="F504" s="33" t="s">
        <v>35</v>
      </c>
      <c r="G504" s="50"/>
    </row>
    <row r="505" spans="1:7" ht="15.75" thickBot="1" x14ac:dyDescent="0.3">
      <c r="A505" s="50"/>
      <c r="B505" s="50"/>
      <c r="C505" s="50"/>
      <c r="D505" s="50"/>
      <c r="E505" s="50"/>
      <c r="F505" s="50"/>
      <c r="G505" s="50"/>
    </row>
    <row r="506" spans="1:7" ht="15.75" thickBot="1" x14ac:dyDescent="0.3">
      <c r="A506" s="41" t="s">
        <v>39</v>
      </c>
      <c r="B506" s="41" t="s">
        <v>40</v>
      </c>
      <c r="C506" s="41" t="s">
        <v>41</v>
      </c>
      <c r="D506" s="41" t="s">
        <v>42</v>
      </c>
      <c r="E506" s="41" t="s">
        <v>43</v>
      </c>
      <c r="F506" s="41" t="s">
        <v>44</v>
      </c>
      <c r="G506" s="50"/>
    </row>
    <row r="507" spans="1:7" x14ac:dyDescent="0.25">
      <c r="A507" s="42">
        <v>50201711</v>
      </c>
      <c r="B507" s="43" t="str">
        <f ca="1">IFERROR(INDEX(UNSPSCDes,MATCH(INDIRECT(ADDRESS(ROW(),COLUMN()-1,4)),UNSPSCCode,0)),"")</f>
        <v>Té instantáneo</v>
      </c>
      <c r="C507" s="42" t="s">
        <v>46</v>
      </c>
      <c r="D507" s="42">
        <v>2</v>
      </c>
      <c r="E507" s="45">
        <v>300</v>
      </c>
      <c r="F507" s="46">
        <f ca="1">INDIRECT(ADDRESS(ROW(),COLUMN()-2,4))*INDIRECT(ADDRESS(ROW(),COLUMN()-1,4))</f>
        <v>600</v>
      </c>
      <c r="G507" s="50"/>
    </row>
    <row r="508" spans="1:7" x14ac:dyDescent="0.25">
      <c r="A508" s="50"/>
      <c r="B508" s="50"/>
      <c r="C508" s="50"/>
      <c r="D508" s="50"/>
      <c r="E508" s="54" t="s">
        <v>49</v>
      </c>
      <c r="F508" s="49">
        <f ca="1">SUM(Table329[MONTO TOTAL ESTIMADO])</f>
        <v>600</v>
      </c>
      <c r="G508" s="50"/>
    </row>
    <row r="509" spans="1:7" ht="15.75" thickBot="1" x14ac:dyDescent="0.3">
      <c r="A509" s="50"/>
      <c r="B509" s="50"/>
      <c r="C509" s="50"/>
      <c r="D509" s="50"/>
      <c r="E509" s="55"/>
      <c r="F509" s="60"/>
      <c r="G509" s="57"/>
    </row>
    <row r="510" spans="1:7" ht="34.5" thickBot="1" x14ac:dyDescent="0.3">
      <c r="A510" s="31" t="s">
        <v>18</v>
      </c>
      <c r="B510" s="31" t="s">
        <v>19</v>
      </c>
      <c r="C510" s="31" t="s">
        <v>20</v>
      </c>
      <c r="D510" s="31" t="s">
        <v>21</v>
      </c>
      <c r="E510" s="31" t="s">
        <v>22</v>
      </c>
      <c r="F510" s="31" t="s">
        <v>23</v>
      </c>
      <c r="G510" s="50"/>
    </row>
    <row r="511" spans="1:7" ht="15.75" thickBot="1" x14ac:dyDescent="0.3">
      <c r="A511" s="33" t="s">
        <v>96</v>
      </c>
      <c r="B511" s="33" t="s">
        <v>97</v>
      </c>
      <c r="C511" s="33" t="s">
        <v>26</v>
      </c>
      <c r="D511" s="33" t="s">
        <v>52</v>
      </c>
      <c r="E511" s="33" t="s">
        <v>53</v>
      </c>
      <c r="F511" s="33"/>
      <c r="G511" s="50"/>
    </row>
    <row r="512" spans="1:7" ht="15.75" thickBot="1" x14ac:dyDescent="0.3">
      <c r="A512" s="34" t="s">
        <v>28</v>
      </c>
      <c r="B512" s="35" t="s">
        <v>29</v>
      </c>
      <c r="C512" s="51">
        <v>44979</v>
      </c>
      <c r="D512" s="34" t="s">
        <v>30</v>
      </c>
      <c r="E512" s="35" t="s">
        <v>31</v>
      </c>
      <c r="F512" s="33" t="s">
        <v>32</v>
      </c>
      <c r="G512" s="50"/>
    </row>
    <row r="513" spans="1:7" ht="15.75" thickBot="1" x14ac:dyDescent="0.3">
      <c r="A513" s="39"/>
      <c r="B513" s="35" t="s">
        <v>33</v>
      </c>
      <c r="C513" s="52">
        <f>IF(C512="","",IF(AND(MONTH(C512)&gt;=1,MONTH(C512)&lt;=3),1,IF(AND(MONTH(C512)&gt;=4,MONTH(C512)&lt;=6),2,IF(AND(MONTH(C512)&gt;=7,MONTH(C512)&lt;=9),3,4))))</f>
        <v>1</v>
      </c>
      <c r="D513" s="39"/>
      <c r="E513" s="35" t="s">
        <v>34</v>
      </c>
      <c r="F513" s="33" t="s">
        <v>35</v>
      </c>
      <c r="G513" s="50"/>
    </row>
    <row r="514" spans="1:7" ht="15.75" thickBot="1" x14ac:dyDescent="0.3">
      <c r="A514" s="39"/>
      <c r="B514" s="35" t="s">
        <v>36</v>
      </c>
      <c r="C514" s="51">
        <v>44984</v>
      </c>
      <c r="D514" s="39"/>
      <c r="E514" s="35" t="s">
        <v>37</v>
      </c>
      <c r="F514" s="33" t="s">
        <v>35</v>
      </c>
      <c r="G514" s="50"/>
    </row>
    <row r="515" spans="1:7" ht="15.75" thickBot="1" x14ac:dyDescent="0.3">
      <c r="A515" s="39"/>
      <c r="B515" s="35" t="s">
        <v>33</v>
      </c>
      <c r="C515" s="52">
        <f>IF(C514="","",IF(AND(MONTH(C514)&gt;=1,MONTH(C514)&lt;=3),1,IF(AND(MONTH(C514)&gt;=4,MONTH(C514)&lt;=6),2,IF(AND(MONTH(C514)&gt;=7,MONTH(C514)&lt;=9),3,4))))</f>
        <v>1</v>
      </c>
      <c r="D515" s="39"/>
      <c r="E515" s="35" t="s">
        <v>38</v>
      </c>
      <c r="F515" s="33" t="s">
        <v>35</v>
      </c>
      <c r="G515" s="50"/>
    </row>
    <row r="516" spans="1:7" ht="15.75" thickBot="1" x14ac:dyDescent="0.3">
      <c r="A516" s="50"/>
      <c r="B516" s="50"/>
      <c r="C516" s="50"/>
      <c r="D516" s="50"/>
      <c r="E516" s="50"/>
      <c r="F516" s="50"/>
      <c r="G516" s="50"/>
    </row>
    <row r="517" spans="1:7" ht="15.75" thickBot="1" x14ac:dyDescent="0.3">
      <c r="A517" s="41" t="s">
        <v>39</v>
      </c>
      <c r="B517" s="41" t="s">
        <v>40</v>
      </c>
      <c r="C517" s="41" t="s">
        <v>41</v>
      </c>
      <c r="D517" s="41" t="s">
        <v>42</v>
      </c>
      <c r="E517" s="41" t="s">
        <v>43</v>
      </c>
      <c r="F517" s="41" t="s">
        <v>44</v>
      </c>
      <c r="G517" s="50"/>
    </row>
    <row r="518" spans="1:7" ht="22.5" x14ac:dyDescent="0.25">
      <c r="A518" s="42">
        <v>10161707</v>
      </c>
      <c r="B518" s="43" t="str">
        <f ca="1">IFERROR(INDEX(UNSPSCDes,MATCH(INDIRECT(ADDRESS(ROW(),COLUMN()-1,4)),UNSPSCCode,0)),"")</f>
        <v>Arreglo de flores cortadas</v>
      </c>
      <c r="C518" s="42" t="s">
        <v>46</v>
      </c>
      <c r="D518" s="42">
        <v>1</v>
      </c>
      <c r="E518" s="45">
        <v>25000</v>
      </c>
      <c r="F518" s="46">
        <f ca="1">INDIRECT(ADDRESS(ROW(),COLUMN()-2,4))*INDIRECT(ADDRESS(ROW(),COLUMN()-1,4))</f>
        <v>25000</v>
      </c>
      <c r="G518" s="50"/>
    </row>
    <row r="519" spans="1:7" x14ac:dyDescent="0.25">
      <c r="A519" s="50"/>
      <c r="B519" s="50"/>
      <c r="C519" s="50"/>
      <c r="D519" s="50"/>
      <c r="E519" s="54" t="s">
        <v>49</v>
      </c>
      <c r="F519" s="49">
        <f ca="1">SUM(Table330[MONTO TOTAL ESTIMADO])</f>
        <v>25000</v>
      </c>
      <c r="G519" s="50"/>
    </row>
    <row r="520" spans="1:7" ht="15.75" thickBot="1" x14ac:dyDescent="0.3">
      <c r="A520" s="50"/>
      <c r="B520" s="50"/>
      <c r="C520" s="50"/>
      <c r="D520" s="50"/>
      <c r="E520" s="55"/>
      <c r="F520" s="60"/>
      <c r="G520" s="57"/>
    </row>
    <row r="521" spans="1:7" ht="34.5" thickBot="1" x14ac:dyDescent="0.3">
      <c r="A521" s="31" t="s">
        <v>18</v>
      </c>
      <c r="B521" s="31" t="s">
        <v>19</v>
      </c>
      <c r="C521" s="31" t="s">
        <v>20</v>
      </c>
      <c r="D521" s="31" t="s">
        <v>21</v>
      </c>
      <c r="E521" s="31" t="s">
        <v>22</v>
      </c>
      <c r="F521" s="31" t="s">
        <v>23</v>
      </c>
      <c r="G521" s="50"/>
    </row>
    <row r="522" spans="1:7" ht="15.75" thickBot="1" x14ac:dyDescent="0.3">
      <c r="A522" s="33" t="s">
        <v>98</v>
      </c>
      <c r="B522" s="33" t="s">
        <v>99</v>
      </c>
      <c r="C522" s="33" t="s">
        <v>26</v>
      </c>
      <c r="D522" s="33" t="s">
        <v>52</v>
      </c>
      <c r="E522" s="33" t="s">
        <v>56</v>
      </c>
      <c r="F522" s="33"/>
      <c r="G522" s="50"/>
    </row>
    <row r="523" spans="1:7" ht="15.75" thickBot="1" x14ac:dyDescent="0.3">
      <c r="A523" s="34" t="s">
        <v>28</v>
      </c>
      <c r="B523" s="35" t="s">
        <v>29</v>
      </c>
      <c r="C523" s="51">
        <v>44944</v>
      </c>
      <c r="D523" s="34" t="s">
        <v>30</v>
      </c>
      <c r="E523" s="35" t="s">
        <v>31</v>
      </c>
      <c r="F523" s="33" t="s">
        <v>32</v>
      </c>
      <c r="G523" s="50"/>
    </row>
    <row r="524" spans="1:7" ht="15.75" thickBot="1" x14ac:dyDescent="0.3">
      <c r="A524" s="39"/>
      <c r="B524" s="35" t="s">
        <v>33</v>
      </c>
      <c r="C524" s="52">
        <f>IF(C523="","",IF(AND(MONTH(C523)&gt;=1,MONTH(C523)&lt;=3),1,IF(AND(MONTH(C523)&gt;=4,MONTH(C523)&lt;=6),2,IF(AND(MONTH(C523)&gt;=7,MONTH(C523)&lt;=9),3,4))))</f>
        <v>1</v>
      </c>
      <c r="D524" s="39"/>
      <c r="E524" s="35" t="s">
        <v>34</v>
      </c>
      <c r="F524" s="33" t="s">
        <v>35</v>
      </c>
      <c r="G524" s="50"/>
    </row>
    <row r="525" spans="1:7" ht="15.75" thickBot="1" x14ac:dyDescent="0.3">
      <c r="A525" s="39"/>
      <c r="B525" s="35" t="s">
        <v>36</v>
      </c>
      <c r="C525" s="51">
        <v>44950</v>
      </c>
      <c r="D525" s="39"/>
      <c r="E525" s="35" t="s">
        <v>37</v>
      </c>
      <c r="F525" s="33" t="s">
        <v>35</v>
      </c>
      <c r="G525" s="50"/>
    </row>
    <row r="526" spans="1:7" ht="15.75" thickBot="1" x14ac:dyDescent="0.3">
      <c r="A526" s="39"/>
      <c r="B526" s="35" t="s">
        <v>33</v>
      </c>
      <c r="C526" s="52">
        <f>IF(C525="","",IF(AND(MONTH(C525)&gt;=1,MONTH(C525)&lt;=3),1,IF(AND(MONTH(C525)&gt;=4,MONTH(C525)&lt;=6),2,IF(AND(MONTH(C525)&gt;=7,MONTH(C525)&lt;=9),3,4))))</f>
        <v>1</v>
      </c>
      <c r="D526" s="39"/>
      <c r="E526" s="35" t="s">
        <v>38</v>
      </c>
      <c r="F526" s="33" t="s">
        <v>35</v>
      </c>
      <c r="G526" s="50"/>
    </row>
    <row r="527" spans="1:7" ht="15.75" thickBot="1" x14ac:dyDescent="0.3">
      <c r="A527" s="50"/>
      <c r="B527" s="50"/>
      <c r="C527" s="50"/>
      <c r="D527" s="50"/>
      <c r="E527" s="50"/>
      <c r="F527" s="50"/>
      <c r="G527" s="50"/>
    </row>
    <row r="528" spans="1:7" ht="15.75" thickBot="1" x14ac:dyDescent="0.3">
      <c r="A528" s="41" t="s">
        <v>39</v>
      </c>
      <c r="B528" s="41" t="s">
        <v>40</v>
      </c>
      <c r="C528" s="41" t="s">
        <v>41</v>
      </c>
      <c r="D528" s="41" t="s">
        <v>42</v>
      </c>
      <c r="E528" s="41" t="s">
        <v>43</v>
      </c>
      <c r="F528" s="41" t="s">
        <v>44</v>
      </c>
      <c r="G528" s="50"/>
    </row>
    <row r="529" spans="1:7" ht="45" x14ac:dyDescent="0.25">
      <c r="A529" s="42">
        <v>42181501</v>
      </c>
      <c r="B529" s="43" t="str">
        <f ca="1">IFERROR(INDEX(UNSPSCDes,MATCH(INDIRECT(ADDRESS(ROW(),COLUMN()-1,4)),UNSPSCCode,0)),"")</f>
        <v>Depresores de lengua o cuchillos o baja lenguas</v>
      </c>
      <c r="C529" s="42" t="s">
        <v>45</v>
      </c>
      <c r="D529" s="42">
        <v>1</v>
      </c>
      <c r="E529" s="45">
        <v>527</v>
      </c>
      <c r="F529" s="46">
        <f ca="1">INDIRECT(ADDRESS(ROW(),COLUMN()-2,4))*INDIRECT(ADDRESS(ROW(),COLUMN()-1,4))</f>
        <v>527</v>
      </c>
      <c r="G529" s="50"/>
    </row>
    <row r="530" spans="1:7" ht="22.5" x14ac:dyDescent="0.25">
      <c r="A530" s="42">
        <v>42311511</v>
      </c>
      <c r="B530" s="43" t="str">
        <f ca="1">IFERROR(INDEX(UNSPSCDes,MATCH(INDIRECT(ADDRESS(ROW(),COLUMN()-1,4)),UNSPSCCode,0)),"")</f>
        <v>Vendajes de gasa</v>
      </c>
      <c r="C530" s="42" t="s">
        <v>46</v>
      </c>
      <c r="D530" s="42">
        <v>1</v>
      </c>
      <c r="E530" s="45">
        <v>251</v>
      </c>
      <c r="F530" s="46">
        <f ca="1">INDIRECT(ADDRESS(ROW(),COLUMN()-2,4))*INDIRECT(ADDRESS(ROW(),COLUMN()-1,4))</f>
        <v>251</v>
      </c>
      <c r="G530" s="50"/>
    </row>
    <row r="531" spans="1:7" ht="33.75" x14ac:dyDescent="0.25">
      <c r="A531" s="42">
        <v>42142603</v>
      </c>
      <c r="B531" s="43" t="str">
        <f ca="1">IFERROR(INDEX(UNSPSCDes,MATCH(INDIRECT(ADDRESS(ROW(),COLUMN()-1,4)),UNSPSCCode,0)),"")</f>
        <v>Jeringas de cartucho para uso médico</v>
      </c>
      <c r="C531" s="42" t="s">
        <v>45</v>
      </c>
      <c r="D531" s="42">
        <v>1</v>
      </c>
      <c r="E531" s="45">
        <v>282</v>
      </c>
      <c r="F531" s="46">
        <f ca="1">INDIRECT(ADDRESS(ROW(),COLUMN()-2,4))*INDIRECT(ADDRESS(ROW(),COLUMN()-1,4))</f>
        <v>282</v>
      </c>
      <c r="G531" s="50"/>
    </row>
    <row r="532" spans="1:7" x14ac:dyDescent="0.25">
      <c r="A532" s="50"/>
      <c r="B532" s="50"/>
      <c r="C532" s="50"/>
      <c r="D532" s="50"/>
      <c r="E532" s="54" t="s">
        <v>49</v>
      </c>
      <c r="F532" s="49">
        <f ca="1">SUM(Table331[MONTO TOTAL ESTIMADO])</f>
        <v>1060</v>
      </c>
      <c r="G532" s="50"/>
    </row>
    <row r="533" spans="1:7" ht="15.75" thickBot="1" x14ac:dyDescent="0.3">
      <c r="A533" s="50"/>
      <c r="B533" s="50"/>
      <c r="C533" s="50"/>
      <c r="D533" s="50"/>
      <c r="E533" s="55"/>
      <c r="F533" s="60"/>
      <c r="G533" s="57"/>
    </row>
    <row r="534" spans="1:7" ht="34.5" thickBot="1" x14ac:dyDescent="0.3">
      <c r="A534" s="31" t="s">
        <v>18</v>
      </c>
      <c r="B534" s="31" t="s">
        <v>19</v>
      </c>
      <c r="C534" s="31" t="s">
        <v>20</v>
      </c>
      <c r="D534" s="31" t="s">
        <v>21</v>
      </c>
      <c r="E534" s="31" t="s">
        <v>22</v>
      </c>
      <c r="F534" s="31" t="s">
        <v>23</v>
      </c>
      <c r="G534" s="50"/>
    </row>
    <row r="535" spans="1:7" ht="15.75" thickBot="1" x14ac:dyDescent="0.3">
      <c r="A535" s="33" t="s">
        <v>98</v>
      </c>
      <c r="B535" s="33" t="s">
        <v>99</v>
      </c>
      <c r="C535" s="33" t="s">
        <v>26</v>
      </c>
      <c r="D535" s="33" t="s">
        <v>52</v>
      </c>
      <c r="E535" s="33" t="s">
        <v>56</v>
      </c>
      <c r="F535" s="33"/>
      <c r="G535" s="50"/>
    </row>
    <row r="536" spans="1:7" ht="15.75" thickBot="1" x14ac:dyDescent="0.3">
      <c r="A536" s="34" t="s">
        <v>28</v>
      </c>
      <c r="B536" s="35" t="s">
        <v>29</v>
      </c>
      <c r="C536" s="51">
        <v>45009</v>
      </c>
      <c r="D536" s="34" t="s">
        <v>30</v>
      </c>
      <c r="E536" s="35" t="s">
        <v>31</v>
      </c>
      <c r="F536" s="33" t="s">
        <v>32</v>
      </c>
      <c r="G536" s="50"/>
    </row>
    <row r="537" spans="1:7" ht="15.75" thickBot="1" x14ac:dyDescent="0.3">
      <c r="A537" s="39"/>
      <c r="B537" s="35" t="s">
        <v>33</v>
      </c>
      <c r="C537" s="52">
        <f>IF(C536="","",IF(AND(MONTH(C536)&gt;=1,MONTH(C536)&lt;=3),1,IF(AND(MONTH(C536)&gt;=4,MONTH(C536)&lt;=6),2,IF(AND(MONTH(C536)&gt;=7,MONTH(C536)&lt;=9),3,4))))</f>
        <v>1</v>
      </c>
      <c r="D537" s="39"/>
      <c r="E537" s="35" t="s">
        <v>34</v>
      </c>
      <c r="F537" s="33" t="s">
        <v>35</v>
      </c>
      <c r="G537" s="50"/>
    </row>
    <row r="538" spans="1:7" ht="15.75" thickBot="1" x14ac:dyDescent="0.3">
      <c r="A538" s="39"/>
      <c r="B538" s="35" t="s">
        <v>36</v>
      </c>
      <c r="C538" s="51">
        <v>45014</v>
      </c>
      <c r="D538" s="39"/>
      <c r="E538" s="35" t="s">
        <v>37</v>
      </c>
      <c r="F538" s="33" t="s">
        <v>35</v>
      </c>
      <c r="G538" s="50"/>
    </row>
    <row r="539" spans="1:7" ht="15.75" thickBot="1" x14ac:dyDescent="0.3">
      <c r="A539" s="39"/>
      <c r="B539" s="35" t="s">
        <v>33</v>
      </c>
      <c r="C539" s="52">
        <f>IF(C538="","",IF(AND(MONTH(C538)&gt;=1,MONTH(C538)&lt;=3),1,IF(AND(MONTH(C538)&gt;=4,MONTH(C538)&lt;=6),2,IF(AND(MONTH(C538)&gt;=7,MONTH(C538)&lt;=9),3,4))))</f>
        <v>1</v>
      </c>
      <c r="D539" s="39"/>
      <c r="E539" s="35" t="s">
        <v>38</v>
      </c>
      <c r="F539" s="33" t="s">
        <v>35</v>
      </c>
      <c r="G539" s="50"/>
    </row>
    <row r="540" spans="1:7" ht="15.75" thickBot="1" x14ac:dyDescent="0.3">
      <c r="A540" s="50"/>
      <c r="B540" s="50"/>
      <c r="C540" s="50"/>
      <c r="D540" s="50"/>
      <c r="E540" s="50"/>
      <c r="F540" s="50"/>
      <c r="G540" s="50"/>
    </row>
    <row r="541" spans="1:7" ht="15.75" thickBot="1" x14ac:dyDescent="0.3">
      <c r="A541" s="41" t="s">
        <v>39</v>
      </c>
      <c r="B541" s="41" t="s">
        <v>40</v>
      </c>
      <c r="C541" s="41" t="s">
        <v>41</v>
      </c>
      <c r="D541" s="41" t="s">
        <v>42</v>
      </c>
      <c r="E541" s="41" t="s">
        <v>43</v>
      </c>
      <c r="F541" s="41" t="s">
        <v>44</v>
      </c>
      <c r="G541" s="50"/>
    </row>
    <row r="542" spans="1:7" ht="67.5" x14ac:dyDescent="0.25">
      <c r="A542" s="42">
        <v>42192201</v>
      </c>
      <c r="B542" s="43" t="str">
        <f ca="1">IFERROR(INDEX(UNSPSCDes,MATCH(INDIRECT(ADDRESS(ROW(),COLUMN()-1,4)),UNSPSCCode,0)),"")</f>
        <v>Camillas con ruedas o accesorios para el transporte de pacientes</v>
      </c>
      <c r="C542" s="42" t="s">
        <v>46</v>
      </c>
      <c r="D542" s="42">
        <v>2</v>
      </c>
      <c r="E542" s="45">
        <v>17600</v>
      </c>
      <c r="F542" s="46">
        <f ca="1">INDIRECT(ADDRESS(ROW(),COLUMN()-2,4))*INDIRECT(ADDRESS(ROW(),COLUMN()-1,4))</f>
        <v>35200</v>
      </c>
      <c r="G542" s="50"/>
    </row>
    <row r="543" spans="1:7" x14ac:dyDescent="0.25">
      <c r="A543" s="50"/>
      <c r="B543" s="50"/>
      <c r="C543" s="50"/>
      <c r="D543" s="50"/>
      <c r="E543" s="54" t="s">
        <v>49</v>
      </c>
      <c r="F543" s="49">
        <f ca="1">SUM(Table332[MONTO TOTAL ESTIMADO])</f>
        <v>35200</v>
      </c>
      <c r="G543" s="50"/>
    </row>
    <row r="544" spans="1:7" ht="15.75" thickBot="1" x14ac:dyDescent="0.3">
      <c r="A544" s="50"/>
      <c r="B544" s="50"/>
      <c r="C544" s="50"/>
      <c r="D544" s="50"/>
      <c r="E544" s="55"/>
      <c r="F544" s="60"/>
      <c r="G544" s="57"/>
    </row>
    <row r="545" spans="1:7" ht="34.5" thickBot="1" x14ac:dyDescent="0.3">
      <c r="A545" s="31" t="s">
        <v>18</v>
      </c>
      <c r="B545" s="31" t="s">
        <v>19</v>
      </c>
      <c r="C545" s="31" t="s">
        <v>20</v>
      </c>
      <c r="D545" s="31" t="s">
        <v>21</v>
      </c>
      <c r="E545" s="31" t="s">
        <v>22</v>
      </c>
      <c r="F545" s="31" t="s">
        <v>23</v>
      </c>
      <c r="G545" s="50"/>
    </row>
    <row r="546" spans="1:7" ht="15.75" thickBot="1" x14ac:dyDescent="0.3">
      <c r="A546" s="33" t="s">
        <v>100</v>
      </c>
      <c r="B546" s="33" t="s">
        <v>100</v>
      </c>
      <c r="C546" s="33" t="s">
        <v>74</v>
      </c>
      <c r="D546" s="33" t="s">
        <v>52</v>
      </c>
      <c r="E546" s="33" t="s">
        <v>56</v>
      </c>
      <c r="F546" s="33"/>
      <c r="G546" s="50"/>
    </row>
    <row r="547" spans="1:7" ht="15.75" thickBot="1" x14ac:dyDescent="0.3">
      <c r="A547" s="34" t="s">
        <v>28</v>
      </c>
      <c r="B547" s="35" t="s">
        <v>29</v>
      </c>
      <c r="C547" s="51">
        <v>44992</v>
      </c>
      <c r="D547" s="34" t="s">
        <v>30</v>
      </c>
      <c r="E547" s="35" t="s">
        <v>31</v>
      </c>
      <c r="F547" s="33" t="s">
        <v>32</v>
      </c>
      <c r="G547" s="50"/>
    </row>
    <row r="548" spans="1:7" ht="15.75" thickBot="1" x14ac:dyDescent="0.3">
      <c r="A548" s="39"/>
      <c r="B548" s="35" t="s">
        <v>33</v>
      </c>
      <c r="C548" s="52">
        <f>IF(C547="","",IF(AND(MONTH(C547)&gt;=1,MONTH(C547)&lt;=3),1,IF(AND(MONTH(C547)&gt;=4,MONTH(C547)&lt;=6),2,IF(AND(MONTH(C547)&gt;=7,MONTH(C547)&lt;=9),3,4))))</f>
        <v>1</v>
      </c>
      <c r="D548" s="39"/>
      <c r="E548" s="35" t="s">
        <v>34</v>
      </c>
      <c r="F548" s="33" t="s">
        <v>35</v>
      </c>
      <c r="G548" s="50"/>
    </row>
    <row r="549" spans="1:7" ht="15.75" thickBot="1" x14ac:dyDescent="0.3">
      <c r="A549" s="39"/>
      <c r="B549" s="35" t="s">
        <v>36</v>
      </c>
      <c r="C549" s="51">
        <v>44999</v>
      </c>
      <c r="D549" s="39"/>
      <c r="E549" s="35" t="s">
        <v>37</v>
      </c>
      <c r="F549" s="33" t="s">
        <v>35</v>
      </c>
      <c r="G549" s="50"/>
    </row>
    <row r="550" spans="1:7" ht="15.75" thickBot="1" x14ac:dyDescent="0.3">
      <c r="A550" s="39"/>
      <c r="B550" s="35" t="s">
        <v>33</v>
      </c>
      <c r="C550" s="52">
        <f>IF(C549="","",IF(AND(MONTH(C549)&gt;=1,MONTH(C549)&lt;=3),1,IF(AND(MONTH(C549)&gt;=4,MONTH(C549)&lt;=6),2,IF(AND(MONTH(C549)&gt;=7,MONTH(C549)&lt;=9),3,4))))</f>
        <v>1</v>
      </c>
      <c r="D550" s="39"/>
      <c r="E550" s="35" t="s">
        <v>38</v>
      </c>
      <c r="F550" s="33" t="s">
        <v>35</v>
      </c>
      <c r="G550" s="50"/>
    </row>
    <row r="551" spans="1:7" ht="15.75" thickBot="1" x14ac:dyDescent="0.3">
      <c r="A551" s="50"/>
      <c r="B551" s="50"/>
      <c r="C551" s="50"/>
      <c r="D551" s="50"/>
      <c r="E551" s="50"/>
      <c r="F551" s="50"/>
      <c r="G551" s="50"/>
    </row>
    <row r="552" spans="1:7" ht="15.75" thickBot="1" x14ac:dyDescent="0.3">
      <c r="A552" s="41" t="s">
        <v>39</v>
      </c>
      <c r="B552" s="41" t="s">
        <v>40</v>
      </c>
      <c r="C552" s="41" t="s">
        <v>41</v>
      </c>
      <c r="D552" s="41" t="s">
        <v>42</v>
      </c>
      <c r="E552" s="41" t="s">
        <v>43</v>
      </c>
      <c r="F552" s="41" t="s">
        <v>44</v>
      </c>
      <c r="G552" s="50"/>
    </row>
    <row r="553" spans="1:7" ht="22.5" x14ac:dyDescent="0.25">
      <c r="A553" s="42">
        <v>82101504</v>
      </c>
      <c r="B553" s="43" t="str">
        <f ca="1">IFERROR(INDEX(UNSPSCDes,MATCH(INDIRECT(ADDRESS(ROW(),COLUMN()-1,4)),UNSPSCCode,0)),"")</f>
        <v>Publicidad en periódicos</v>
      </c>
      <c r="C553" s="42" t="s">
        <v>46</v>
      </c>
      <c r="D553" s="42">
        <v>2</v>
      </c>
      <c r="E553" s="45">
        <v>20000</v>
      </c>
      <c r="F553" s="46">
        <f ca="1">INDIRECT(ADDRESS(ROW(),COLUMN()-2,4))*INDIRECT(ADDRESS(ROW(),COLUMN()-1,4))</f>
        <v>40000</v>
      </c>
      <c r="G553" s="50"/>
    </row>
    <row r="554" spans="1:7" x14ac:dyDescent="0.25">
      <c r="A554" s="50"/>
      <c r="B554" s="50"/>
      <c r="C554" s="50"/>
      <c r="D554" s="50"/>
      <c r="E554" s="54" t="s">
        <v>49</v>
      </c>
      <c r="F554" s="49">
        <f ca="1">SUM(Table333[MONTO TOTAL ESTIMADO])</f>
        <v>40000</v>
      </c>
      <c r="G554" s="50"/>
    </row>
    <row r="555" spans="1:7" ht="15.75" thickBot="1" x14ac:dyDescent="0.3">
      <c r="A555" s="50"/>
      <c r="B555" s="50"/>
      <c r="C555" s="50"/>
      <c r="D555" s="50"/>
      <c r="E555" s="55"/>
      <c r="F555" s="60"/>
      <c r="G555" s="57"/>
    </row>
    <row r="556" spans="1:7" ht="34.5" thickBot="1" x14ac:dyDescent="0.3">
      <c r="A556" s="31" t="s">
        <v>18</v>
      </c>
      <c r="B556" s="31" t="s">
        <v>19</v>
      </c>
      <c r="C556" s="31" t="s">
        <v>20</v>
      </c>
      <c r="D556" s="31" t="s">
        <v>21</v>
      </c>
      <c r="E556" s="31" t="s">
        <v>22</v>
      </c>
      <c r="F556" s="31" t="s">
        <v>23</v>
      </c>
      <c r="G556" s="50"/>
    </row>
    <row r="557" spans="1:7" ht="15.75" thickBot="1" x14ac:dyDescent="0.3">
      <c r="A557" s="33" t="s">
        <v>98</v>
      </c>
      <c r="B557" s="33" t="s">
        <v>99</v>
      </c>
      <c r="C557" s="33" t="s">
        <v>26</v>
      </c>
      <c r="D557" s="33" t="s">
        <v>52</v>
      </c>
      <c r="E557" s="33" t="s">
        <v>56</v>
      </c>
      <c r="F557" s="33"/>
      <c r="G557" s="50"/>
    </row>
    <row r="558" spans="1:7" ht="15.75" thickBot="1" x14ac:dyDescent="0.3">
      <c r="A558" s="34" t="s">
        <v>28</v>
      </c>
      <c r="B558" s="35" t="s">
        <v>29</v>
      </c>
      <c r="C558" s="51">
        <v>44979</v>
      </c>
      <c r="D558" s="34" t="s">
        <v>30</v>
      </c>
      <c r="E558" s="35" t="s">
        <v>31</v>
      </c>
      <c r="F558" s="33" t="s">
        <v>32</v>
      </c>
      <c r="G558" s="50"/>
    </row>
    <row r="559" spans="1:7" ht="15.75" thickBot="1" x14ac:dyDescent="0.3">
      <c r="A559" s="39"/>
      <c r="B559" s="35" t="s">
        <v>33</v>
      </c>
      <c r="C559" s="52">
        <f>IF(C558="","",IF(AND(MONTH(C558)&gt;=1,MONTH(C558)&lt;=3),1,IF(AND(MONTH(C558)&gt;=4,MONTH(C558)&lt;=6),2,IF(AND(MONTH(C558)&gt;=7,MONTH(C558)&lt;=9),3,4))))</f>
        <v>1</v>
      </c>
      <c r="D559" s="39"/>
      <c r="E559" s="35" t="s">
        <v>34</v>
      </c>
      <c r="F559" s="33" t="s">
        <v>35</v>
      </c>
      <c r="G559" s="50"/>
    </row>
    <row r="560" spans="1:7" ht="15.75" thickBot="1" x14ac:dyDescent="0.3">
      <c r="A560" s="39"/>
      <c r="B560" s="35" t="s">
        <v>36</v>
      </c>
      <c r="C560" s="51">
        <v>44981</v>
      </c>
      <c r="D560" s="39"/>
      <c r="E560" s="35" t="s">
        <v>37</v>
      </c>
      <c r="F560" s="33" t="s">
        <v>35</v>
      </c>
      <c r="G560" s="50"/>
    </row>
    <row r="561" spans="1:7" ht="15.75" thickBot="1" x14ac:dyDescent="0.3">
      <c r="A561" s="39"/>
      <c r="B561" s="35" t="s">
        <v>33</v>
      </c>
      <c r="C561" s="52">
        <f>IF(C560="","",IF(AND(MONTH(C560)&gt;=1,MONTH(C560)&lt;=3),1,IF(AND(MONTH(C560)&gt;=4,MONTH(C560)&lt;=6),2,IF(AND(MONTH(C560)&gt;=7,MONTH(C560)&lt;=9),3,4))))</f>
        <v>1</v>
      </c>
      <c r="D561" s="39"/>
      <c r="E561" s="35" t="s">
        <v>38</v>
      </c>
      <c r="F561" s="33" t="s">
        <v>35</v>
      </c>
      <c r="G561" s="50"/>
    </row>
    <row r="562" spans="1:7" ht="15.75" thickBot="1" x14ac:dyDescent="0.3">
      <c r="A562" s="50"/>
      <c r="B562" s="50"/>
      <c r="C562" s="50"/>
      <c r="D562" s="50"/>
      <c r="E562" s="50"/>
      <c r="F562" s="50"/>
      <c r="G562" s="50"/>
    </row>
    <row r="563" spans="1:7" ht="15.75" thickBot="1" x14ac:dyDescent="0.3">
      <c r="A563" s="41" t="s">
        <v>39</v>
      </c>
      <c r="B563" s="41" t="s">
        <v>40</v>
      </c>
      <c r="C563" s="41" t="s">
        <v>41</v>
      </c>
      <c r="D563" s="41" t="s">
        <v>42</v>
      </c>
      <c r="E563" s="41" t="s">
        <v>43</v>
      </c>
      <c r="F563" s="41" t="s">
        <v>44</v>
      </c>
      <c r="G563" s="50"/>
    </row>
    <row r="564" spans="1:7" ht="56.25" x14ac:dyDescent="0.25">
      <c r="A564" s="42">
        <v>42201841</v>
      </c>
      <c r="B564" s="43" t="str">
        <f ca="1">IFERROR(INDEX(UNSPSCDes,MATCH(INDIRECT(ADDRESS(ROW(),COLUMN()-1,4)),UNSPSCCode,0)),"")</f>
        <v>Papeles de rayos x diagnósticos para uso médico</v>
      </c>
      <c r="C564" s="42" t="s">
        <v>46</v>
      </c>
      <c r="D564" s="42">
        <v>1</v>
      </c>
      <c r="E564" s="45">
        <v>5000</v>
      </c>
      <c r="F564" s="46">
        <f ca="1">INDIRECT(ADDRESS(ROW(),COLUMN()-2,4))*INDIRECT(ADDRESS(ROW(),COLUMN()-1,4))</f>
        <v>5000</v>
      </c>
      <c r="G564" s="50"/>
    </row>
    <row r="565" spans="1:7" x14ac:dyDescent="0.25">
      <c r="A565" s="50"/>
      <c r="B565" s="50"/>
      <c r="C565" s="50"/>
      <c r="D565" s="50"/>
      <c r="E565" s="54" t="s">
        <v>49</v>
      </c>
      <c r="F565" s="49">
        <f ca="1">SUM(Table335[MONTO TOTAL ESTIMADO])</f>
        <v>5000</v>
      </c>
      <c r="G565" s="50"/>
    </row>
    <row r="566" spans="1:7" ht="15.75" thickBot="1" x14ac:dyDescent="0.3">
      <c r="A566" s="50"/>
      <c r="B566" s="50"/>
      <c r="C566" s="50"/>
      <c r="D566" s="50"/>
      <c r="E566" s="55"/>
      <c r="F566" s="60"/>
      <c r="G566" s="57"/>
    </row>
    <row r="567" spans="1:7" ht="34.5" thickBot="1" x14ac:dyDescent="0.3">
      <c r="A567" s="31" t="s">
        <v>18</v>
      </c>
      <c r="B567" s="31" t="s">
        <v>19</v>
      </c>
      <c r="C567" s="31" t="s">
        <v>20</v>
      </c>
      <c r="D567" s="31" t="s">
        <v>21</v>
      </c>
      <c r="E567" s="31" t="s">
        <v>22</v>
      </c>
      <c r="F567" s="31" t="s">
        <v>23</v>
      </c>
      <c r="G567" s="50"/>
    </row>
    <row r="568" spans="1:7" ht="15.75" thickBot="1" x14ac:dyDescent="0.3">
      <c r="A568" s="33" t="s">
        <v>101</v>
      </c>
      <c r="B568" s="33" t="s">
        <v>102</v>
      </c>
      <c r="C568" s="33" t="s">
        <v>26</v>
      </c>
      <c r="D568" s="33" t="s">
        <v>52</v>
      </c>
      <c r="E568" s="33" t="s">
        <v>56</v>
      </c>
      <c r="F568" s="33"/>
      <c r="G568" s="50"/>
    </row>
    <row r="569" spans="1:7" ht="15.75" thickBot="1" x14ac:dyDescent="0.3">
      <c r="A569" s="34" t="s">
        <v>28</v>
      </c>
      <c r="B569" s="35" t="s">
        <v>29</v>
      </c>
      <c r="C569" s="51">
        <v>44936</v>
      </c>
      <c r="D569" s="34" t="s">
        <v>30</v>
      </c>
      <c r="E569" s="35" t="s">
        <v>31</v>
      </c>
      <c r="F569" s="33" t="s">
        <v>32</v>
      </c>
      <c r="G569" s="50"/>
    </row>
    <row r="570" spans="1:7" ht="15.75" thickBot="1" x14ac:dyDescent="0.3">
      <c r="A570" s="39"/>
      <c r="B570" s="35" t="s">
        <v>33</v>
      </c>
      <c r="C570" s="52">
        <f>IF(C569="","",IF(AND(MONTH(C569)&gt;=1,MONTH(C569)&lt;=3),1,IF(AND(MONTH(C569)&gt;=4,MONTH(C569)&lt;=6),2,IF(AND(MONTH(C569)&gt;=7,MONTH(C569)&lt;=9),3,4))))</f>
        <v>1</v>
      </c>
      <c r="D570" s="39"/>
      <c r="E570" s="35" t="s">
        <v>34</v>
      </c>
      <c r="F570" s="33" t="s">
        <v>35</v>
      </c>
      <c r="G570" s="50"/>
    </row>
    <row r="571" spans="1:7" ht="15.75" thickBot="1" x14ac:dyDescent="0.3">
      <c r="A571" s="39"/>
      <c r="B571" s="35" t="s">
        <v>36</v>
      </c>
      <c r="C571" s="51">
        <v>44942</v>
      </c>
      <c r="D571" s="39"/>
      <c r="E571" s="35" t="s">
        <v>37</v>
      </c>
      <c r="F571" s="33" t="s">
        <v>35</v>
      </c>
      <c r="G571" s="50"/>
    </row>
    <row r="572" spans="1:7" ht="15.75" thickBot="1" x14ac:dyDescent="0.3">
      <c r="A572" s="39"/>
      <c r="B572" s="35" t="s">
        <v>33</v>
      </c>
      <c r="C572" s="52">
        <f>IF(C571="","",IF(AND(MONTH(C571)&gt;=1,MONTH(C571)&lt;=3),1,IF(AND(MONTH(C571)&gt;=4,MONTH(C571)&lt;=6),2,IF(AND(MONTH(C571)&gt;=7,MONTH(C571)&lt;=9),3,4))))</f>
        <v>1</v>
      </c>
      <c r="D572" s="39"/>
      <c r="E572" s="35" t="s">
        <v>38</v>
      </c>
      <c r="F572" s="33" t="s">
        <v>35</v>
      </c>
      <c r="G572" s="50"/>
    </row>
    <row r="573" spans="1:7" ht="15.75" thickBot="1" x14ac:dyDescent="0.3">
      <c r="A573" s="50"/>
      <c r="B573" s="50"/>
      <c r="C573" s="50"/>
      <c r="D573" s="50"/>
      <c r="E573" s="50"/>
      <c r="F573" s="50"/>
      <c r="G573" s="50"/>
    </row>
    <row r="574" spans="1:7" ht="15.75" thickBot="1" x14ac:dyDescent="0.3">
      <c r="A574" s="41" t="s">
        <v>39</v>
      </c>
      <c r="B574" s="41" t="s">
        <v>40</v>
      </c>
      <c r="C574" s="41" t="s">
        <v>41</v>
      </c>
      <c r="D574" s="41" t="s">
        <v>42</v>
      </c>
      <c r="E574" s="41" t="s">
        <v>43</v>
      </c>
      <c r="F574" s="41" t="s">
        <v>44</v>
      </c>
      <c r="G574" s="50"/>
    </row>
    <row r="575" spans="1:7" ht="45" x14ac:dyDescent="0.25">
      <c r="A575" s="42">
        <v>48101711</v>
      </c>
      <c r="B575" s="43" t="str">
        <f ca="1">IFERROR(INDEX(UNSPSCDes,MATCH(INDIRECT(ADDRESS(ROW(),COLUMN()-1,4)),UNSPSCCode,0)),"")</f>
        <v>Dispensadores de agua embotellada o accesorios</v>
      </c>
      <c r="C575" s="42" t="s">
        <v>46</v>
      </c>
      <c r="D575" s="42">
        <v>1</v>
      </c>
      <c r="E575" s="45">
        <v>13000</v>
      </c>
      <c r="F575" s="46">
        <f ca="1">INDIRECT(ADDRESS(ROW(),COLUMN()-2,4))*INDIRECT(ADDRESS(ROW(),COLUMN()-1,4))</f>
        <v>13000</v>
      </c>
      <c r="G575" s="50"/>
    </row>
    <row r="576" spans="1:7" x14ac:dyDescent="0.25">
      <c r="A576" s="50"/>
      <c r="B576" s="50"/>
      <c r="C576" s="50"/>
      <c r="D576" s="50"/>
      <c r="E576" s="54" t="s">
        <v>49</v>
      </c>
      <c r="F576" s="49">
        <f ca="1">SUM(Table336[MONTO TOTAL ESTIMADO])</f>
        <v>13000</v>
      </c>
      <c r="G576" s="50"/>
    </row>
    <row r="577" spans="1:7" ht="15.75" thickBot="1" x14ac:dyDescent="0.3">
      <c r="A577" s="50"/>
      <c r="B577" s="50"/>
      <c r="C577" s="50"/>
      <c r="D577" s="50"/>
      <c r="E577" s="55"/>
      <c r="F577" s="60"/>
      <c r="G577" s="57"/>
    </row>
    <row r="578" spans="1:7" ht="34.5" thickBot="1" x14ac:dyDescent="0.3">
      <c r="A578" s="31" t="s">
        <v>18</v>
      </c>
      <c r="B578" s="31" t="s">
        <v>19</v>
      </c>
      <c r="C578" s="31" t="s">
        <v>20</v>
      </c>
      <c r="D578" s="31" t="s">
        <v>21</v>
      </c>
      <c r="E578" s="31" t="s">
        <v>22</v>
      </c>
      <c r="F578" s="31" t="s">
        <v>23</v>
      </c>
      <c r="G578" s="50"/>
    </row>
    <row r="579" spans="1:7" ht="15.75" thickBot="1" x14ac:dyDescent="0.3">
      <c r="A579" s="33" t="s">
        <v>83</v>
      </c>
      <c r="B579" s="33" t="s">
        <v>84</v>
      </c>
      <c r="C579" s="33" t="s">
        <v>74</v>
      </c>
      <c r="D579" s="33" t="s">
        <v>52</v>
      </c>
      <c r="E579" s="33" t="s">
        <v>62</v>
      </c>
      <c r="F579" s="33"/>
      <c r="G579" s="50"/>
    </row>
    <row r="580" spans="1:7" ht="15.75" thickBot="1" x14ac:dyDescent="0.3">
      <c r="A580" s="34" t="s">
        <v>28</v>
      </c>
      <c r="B580" s="35" t="s">
        <v>29</v>
      </c>
      <c r="C580" s="51">
        <v>44943</v>
      </c>
      <c r="D580" s="34" t="s">
        <v>30</v>
      </c>
      <c r="E580" s="35" t="s">
        <v>31</v>
      </c>
      <c r="F580" s="33" t="s">
        <v>32</v>
      </c>
      <c r="G580" s="50"/>
    </row>
    <row r="581" spans="1:7" ht="15.75" thickBot="1" x14ac:dyDescent="0.3">
      <c r="A581" s="39"/>
      <c r="B581" s="35" t="s">
        <v>33</v>
      </c>
      <c r="C581" s="52">
        <f>IF(C580="","",IF(AND(MONTH(C580)&gt;=1,MONTH(C580)&lt;=3),1,IF(AND(MONTH(C580)&gt;=4,MONTH(C580)&lt;=6),2,IF(AND(MONTH(C580)&gt;=7,MONTH(C580)&lt;=9),3,4))))</f>
        <v>1</v>
      </c>
      <c r="D581" s="39"/>
      <c r="E581" s="35" t="s">
        <v>34</v>
      </c>
      <c r="F581" s="33" t="s">
        <v>35</v>
      </c>
      <c r="G581" s="50"/>
    </row>
    <row r="582" spans="1:7" ht="15.75" thickBot="1" x14ac:dyDescent="0.3">
      <c r="A582" s="39"/>
      <c r="B582" s="35" t="s">
        <v>36</v>
      </c>
      <c r="C582" s="51">
        <v>44948</v>
      </c>
      <c r="D582" s="39"/>
      <c r="E582" s="35" t="s">
        <v>37</v>
      </c>
      <c r="F582" s="33" t="s">
        <v>35</v>
      </c>
      <c r="G582" s="50"/>
    </row>
    <row r="583" spans="1:7" ht="15.75" thickBot="1" x14ac:dyDescent="0.3">
      <c r="A583" s="39"/>
      <c r="B583" s="35" t="s">
        <v>33</v>
      </c>
      <c r="C583" s="52">
        <f>IF(C582="","",IF(AND(MONTH(C582)&gt;=1,MONTH(C582)&lt;=3),1,IF(AND(MONTH(C582)&gt;=4,MONTH(C582)&lt;=6),2,IF(AND(MONTH(C582)&gt;=7,MONTH(C582)&lt;=9),3,4))))</f>
        <v>1</v>
      </c>
      <c r="D583" s="39"/>
      <c r="E583" s="35" t="s">
        <v>38</v>
      </c>
      <c r="F583" s="33" t="s">
        <v>35</v>
      </c>
      <c r="G583" s="50"/>
    </row>
    <row r="584" spans="1:7" ht="15.75" thickBot="1" x14ac:dyDescent="0.3">
      <c r="A584" s="50"/>
      <c r="B584" s="50"/>
      <c r="C584" s="50"/>
      <c r="D584" s="50"/>
      <c r="E584" s="50"/>
      <c r="F584" s="50"/>
      <c r="G584" s="50"/>
    </row>
    <row r="585" spans="1:7" ht="15.75" thickBot="1" x14ac:dyDescent="0.3">
      <c r="A585" s="41" t="s">
        <v>39</v>
      </c>
      <c r="B585" s="41" t="s">
        <v>40</v>
      </c>
      <c r="C585" s="41" t="s">
        <v>41</v>
      </c>
      <c r="D585" s="41" t="s">
        <v>42</v>
      </c>
      <c r="E585" s="41" t="s">
        <v>43</v>
      </c>
      <c r="F585" s="41" t="s">
        <v>44</v>
      </c>
      <c r="G585" s="50"/>
    </row>
    <row r="586" spans="1:7" ht="45" x14ac:dyDescent="0.25">
      <c r="A586" s="42">
        <v>73151905</v>
      </c>
      <c r="B586" s="43" t="str">
        <f ca="1">IFERROR(INDEX(UNSPSCDes,MATCH(INDIRECT(ADDRESS(ROW(),COLUMN()-1,4)),UNSPSCCode,0)),"")</f>
        <v>Servicios de impresión industrial digital</v>
      </c>
      <c r="C586" s="42" t="s">
        <v>46</v>
      </c>
      <c r="D586" s="42">
        <v>1</v>
      </c>
      <c r="E586" s="45">
        <v>30000</v>
      </c>
      <c r="F586" s="46">
        <f ca="1">INDIRECT(ADDRESS(ROW(),COLUMN()-2,4))*INDIRECT(ADDRESS(ROW(),COLUMN()-1,4))</f>
        <v>30000</v>
      </c>
      <c r="G586" s="50"/>
    </row>
    <row r="587" spans="1:7" x14ac:dyDescent="0.25">
      <c r="A587" s="50"/>
      <c r="B587" s="50"/>
      <c r="C587" s="50"/>
      <c r="D587" s="50"/>
      <c r="E587" s="54" t="s">
        <v>49</v>
      </c>
      <c r="F587" s="49">
        <f ca="1">SUM(Table337[MONTO TOTAL ESTIMADO])</f>
        <v>30000</v>
      </c>
      <c r="G587" s="50"/>
    </row>
    <row r="588" spans="1:7" ht="15.75" thickBot="1" x14ac:dyDescent="0.3">
      <c r="A588" s="50"/>
      <c r="B588" s="50"/>
      <c r="C588" s="50"/>
      <c r="D588" s="50"/>
      <c r="E588" s="55"/>
      <c r="F588" s="60"/>
      <c r="G588" s="57"/>
    </row>
    <row r="589" spans="1:7" ht="34.5" thickBot="1" x14ac:dyDescent="0.3">
      <c r="A589" s="31" t="s">
        <v>18</v>
      </c>
      <c r="B589" s="31" t="s">
        <v>19</v>
      </c>
      <c r="C589" s="31" t="s">
        <v>20</v>
      </c>
      <c r="D589" s="31" t="s">
        <v>21</v>
      </c>
      <c r="E589" s="31" t="s">
        <v>22</v>
      </c>
      <c r="F589" s="31" t="s">
        <v>23</v>
      </c>
      <c r="G589" s="50"/>
    </row>
    <row r="590" spans="1:7" ht="15.75" thickBot="1" x14ac:dyDescent="0.3">
      <c r="A590" s="33" t="s">
        <v>103</v>
      </c>
      <c r="B590" s="33" t="s">
        <v>104</v>
      </c>
      <c r="C590" s="33" t="s">
        <v>26</v>
      </c>
      <c r="D590" s="33" t="s">
        <v>52</v>
      </c>
      <c r="E590" s="33" t="s">
        <v>62</v>
      </c>
      <c r="F590" s="33"/>
      <c r="G590" s="50"/>
    </row>
    <row r="591" spans="1:7" ht="15.75" thickBot="1" x14ac:dyDescent="0.3">
      <c r="A591" s="34" t="s">
        <v>28</v>
      </c>
      <c r="B591" s="35" t="s">
        <v>29</v>
      </c>
      <c r="C591" s="51">
        <v>44935</v>
      </c>
      <c r="D591" s="34" t="s">
        <v>30</v>
      </c>
      <c r="E591" s="35" t="s">
        <v>31</v>
      </c>
      <c r="F591" s="33" t="s">
        <v>32</v>
      </c>
      <c r="G591" s="50"/>
    </row>
    <row r="592" spans="1:7" ht="15.75" thickBot="1" x14ac:dyDescent="0.3">
      <c r="A592" s="39"/>
      <c r="B592" s="35" t="s">
        <v>33</v>
      </c>
      <c r="C592" s="52">
        <f>IF(C591="","",IF(AND(MONTH(C591)&gt;=1,MONTH(C591)&lt;=3),1,IF(AND(MONTH(C591)&gt;=4,MONTH(C591)&lt;=6),2,IF(AND(MONTH(C591)&gt;=7,MONTH(C591)&lt;=9),3,4))))</f>
        <v>1</v>
      </c>
      <c r="D592" s="39"/>
      <c r="E592" s="35" t="s">
        <v>34</v>
      </c>
      <c r="F592" s="33" t="s">
        <v>35</v>
      </c>
      <c r="G592" s="50"/>
    </row>
    <row r="593" spans="1:7" ht="15.75" thickBot="1" x14ac:dyDescent="0.3">
      <c r="A593" s="39"/>
      <c r="B593" s="35" t="s">
        <v>36</v>
      </c>
      <c r="C593" s="51">
        <v>44944</v>
      </c>
      <c r="D593" s="39"/>
      <c r="E593" s="35" t="s">
        <v>37</v>
      </c>
      <c r="F593" s="33" t="s">
        <v>35</v>
      </c>
      <c r="G593" s="50"/>
    </row>
    <row r="594" spans="1:7" ht="15.75" thickBot="1" x14ac:dyDescent="0.3">
      <c r="A594" s="39"/>
      <c r="B594" s="35" t="s">
        <v>33</v>
      </c>
      <c r="C594" s="52">
        <f>IF(C593="","",IF(AND(MONTH(C593)&gt;=1,MONTH(C593)&lt;=3),1,IF(AND(MONTH(C593)&gt;=4,MONTH(C593)&lt;=6),2,IF(AND(MONTH(C593)&gt;=7,MONTH(C593)&lt;=9),3,4))))</f>
        <v>1</v>
      </c>
      <c r="D594" s="39"/>
      <c r="E594" s="35" t="s">
        <v>38</v>
      </c>
      <c r="F594" s="33" t="s">
        <v>35</v>
      </c>
      <c r="G594" s="50"/>
    </row>
    <row r="595" spans="1:7" ht="15.75" thickBot="1" x14ac:dyDescent="0.3">
      <c r="A595" s="50"/>
      <c r="B595" s="50"/>
      <c r="C595" s="50"/>
      <c r="D595" s="50"/>
      <c r="E595" s="50"/>
      <c r="F595" s="50"/>
      <c r="G595" s="50"/>
    </row>
    <row r="596" spans="1:7" ht="15.75" thickBot="1" x14ac:dyDescent="0.3">
      <c r="A596" s="41" t="s">
        <v>39</v>
      </c>
      <c r="B596" s="41" t="s">
        <v>40</v>
      </c>
      <c r="C596" s="41" t="s">
        <v>41</v>
      </c>
      <c r="D596" s="41" t="s">
        <v>42</v>
      </c>
      <c r="E596" s="41" t="s">
        <v>43</v>
      </c>
      <c r="F596" s="41" t="s">
        <v>44</v>
      </c>
      <c r="G596" s="50"/>
    </row>
    <row r="597" spans="1:7" ht="33.75" x14ac:dyDescent="0.25">
      <c r="A597" s="42">
        <v>55101510</v>
      </c>
      <c r="B597" s="43" t="str">
        <f ca="1">IFERROR(INDEX(UNSPSCDes,MATCH(INDIRECT(ADDRESS(ROW(),COLUMN()-1,4)),UNSPSCCode,0)),"")</f>
        <v>Libros para entretenimiento</v>
      </c>
      <c r="C597" s="42" t="s">
        <v>46</v>
      </c>
      <c r="D597" s="42">
        <v>1</v>
      </c>
      <c r="E597" s="45">
        <v>1000</v>
      </c>
      <c r="F597" s="46">
        <f ca="1">INDIRECT(ADDRESS(ROW(),COLUMN()-2,4))*INDIRECT(ADDRESS(ROW(),COLUMN()-1,4))</f>
        <v>1000</v>
      </c>
      <c r="G597" s="50"/>
    </row>
    <row r="598" spans="1:7" x14ac:dyDescent="0.25">
      <c r="A598" s="50"/>
      <c r="B598" s="50"/>
      <c r="C598" s="50"/>
      <c r="D598" s="50"/>
      <c r="E598" s="54" t="s">
        <v>49</v>
      </c>
      <c r="F598" s="49">
        <f ca="1">SUM(Table338[MONTO TOTAL ESTIMADO])</f>
        <v>1000</v>
      </c>
      <c r="G598" s="50"/>
    </row>
    <row r="599" spans="1:7" ht="15.75" thickBot="1" x14ac:dyDescent="0.3">
      <c r="A599" s="50"/>
      <c r="B599" s="50"/>
      <c r="C599" s="50"/>
      <c r="D599" s="50"/>
      <c r="E599" s="55"/>
      <c r="F599" s="60"/>
      <c r="G599" s="57"/>
    </row>
    <row r="600" spans="1:7" ht="34.5" thickBot="1" x14ac:dyDescent="0.3">
      <c r="A600" s="31" t="s">
        <v>18</v>
      </c>
      <c r="B600" s="31" t="s">
        <v>19</v>
      </c>
      <c r="C600" s="31" t="s">
        <v>20</v>
      </c>
      <c r="D600" s="31" t="s">
        <v>21</v>
      </c>
      <c r="E600" s="31" t="s">
        <v>22</v>
      </c>
      <c r="F600" s="31" t="s">
        <v>23</v>
      </c>
      <c r="G600" s="50"/>
    </row>
    <row r="601" spans="1:7" ht="15.75" thickBot="1" x14ac:dyDescent="0.3">
      <c r="A601" s="33" t="s">
        <v>105</v>
      </c>
      <c r="B601" s="33" t="s">
        <v>106</v>
      </c>
      <c r="C601" s="33" t="s">
        <v>74</v>
      </c>
      <c r="D601" s="33" t="s">
        <v>27</v>
      </c>
      <c r="E601" s="33" t="s">
        <v>56</v>
      </c>
      <c r="F601" s="33"/>
      <c r="G601" s="50"/>
    </row>
    <row r="602" spans="1:7" ht="15.75" thickBot="1" x14ac:dyDescent="0.3">
      <c r="A602" s="34" t="s">
        <v>28</v>
      </c>
      <c r="B602" s="35" t="s">
        <v>29</v>
      </c>
      <c r="C602" s="51">
        <v>44966</v>
      </c>
      <c r="D602" s="34" t="s">
        <v>30</v>
      </c>
      <c r="E602" s="35" t="s">
        <v>31</v>
      </c>
      <c r="F602" s="33" t="s">
        <v>32</v>
      </c>
      <c r="G602" s="50"/>
    </row>
    <row r="603" spans="1:7" ht="15.75" thickBot="1" x14ac:dyDescent="0.3">
      <c r="A603" s="39"/>
      <c r="B603" s="35" t="s">
        <v>33</v>
      </c>
      <c r="C603" s="52">
        <f>IF(C602="","",IF(AND(MONTH(C602)&gt;=1,MONTH(C602)&lt;=3),1,IF(AND(MONTH(C602)&gt;=4,MONTH(C602)&lt;=6),2,IF(AND(MONTH(C602)&gt;=7,MONTH(C602)&lt;=9),3,4))))</f>
        <v>1</v>
      </c>
      <c r="D603" s="39"/>
      <c r="E603" s="35" t="s">
        <v>34</v>
      </c>
      <c r="F603" s="33" t="s">
        <v>35</v>
      </c>
      <c r="G603" s="50"/>
    </row>
    <row r="604" spans="1:7" ht="15.75" thickBot="1" x14ac:dyDescent="0.3">
      <c r="A604" s="39"/>
      <c r="B604" s="35" t="s">
        <v>36</v>
      </c>
      <c r="C604" s="51">
        <v>44974</v>
      </c>
      <c r="D604" s="39"/>
      <c r="E604" s="35" t="s">
        <v>37</v>
      </c>
      <c r="F604" s="33" t="s">
        <v>35</v>
      </c>
      <c r="G604" s="50"/>
    </row>
    <row r="605" spans="1:7" ht="15.75" thickBot="1" x14ac:dyDescent="0.3">
      <c r="A605" s="39"/>
      <c r="B605" s="35" t="s">
        <v>33</v>
      </c>
      <c r="C605" s="52">
        <f>IF(C604="","",IF(AND(MONTH(C604)&gt;=1,MONTH(C604)&lt;=3),1,IF(AND(MONTH(C604)&gt;=4,MONTH(C604)&lt;=6),2,IF(AND(MONTH(C604)&gt;=7,MONTH(C604)&lt;=9),3,4))))</f>
        <v>1</v>
      </c>
      <c r="D605" s="39"/>
      <c r="E605" s="35" t="s">
        <v>38</v>
      </c>
      <c r="F605" s="33" t="s">
        <v>35</v>
      </c>
      <c r="G605" s="50"/>
    </row>
    <row r="606" spans="1:7" ht="15.75" thickBot="1" x14ac:dyDescent="0.3">
      <c r="A606" s="50"/>
      <c r="B606" s="50"/>
      <c r="C606" s="50"/>
      <c r="D606" s="50"/>
      <c r="E606" s="50"/>
      <c r="F606" s="50"/>
      <c r="G606" s="50"/>
    </row>
    <row r="607" spans="1:7" ht="15.75" thickBot="1" x14ac:dyDescent="0.3">
      <c r="A607" s="41" t="s">
        <v>39</v>
      </c>
      <c r="B607" s="41" t="s">
        <v>40</v>
      </c>
      <c r="C607" s="41" t="s">
        <v>41</v>
      </c>
      <c r="D607" s="41" t="s">
        <v>42</v>
      </c>
      <c r="E607" s="41" t="s">
        <v>43</v>
      </c>
      <c r="F607" s="41" t="s">
        <v>44</v>
      </c>
      <c r="G607" s="50"/>
    </row>
    <row r="608" spans="1:7" ht="33.75" x14ac:dyDescent="0.25">
      <c r="A608" s="42">
        <v>80101604</v>
      </c>
      <c r="B608" s="43" t="str">
        <f ca="1">IFERROR(INDEX(UNSPSCDes,MATCH(INDIRECT(ADDRESS(ROW(),COLUMN()-1,4)),UNSPSCCode,0)),"")</f>
        <v>Planificación o administración de proyectos</v>
      </c>
      <c r="C608" s="42" t="s">
        <v>46</v>
      </c>
      <c r="D608" s="42">
        <v>1</v>
      </c>
      <c r="E608" s="45">
        <v>200000</v>
      </c>
      <c r="F608" s="46">
        <f ca="1">INDIRECT(ADDRESS(ROW(),COLUMN()-2,4))*INDIRECT(ADDRESS(ROW(),COLUMN()-1,4))</f>
        <v>200000</v>
      </c>
      <c r="G608" s="50"/>
    </row>
    <row r="609" spans="1:7" x14ac:dyDescent="0.25">
      <c r="A609" s="50"/>
      <c r="B609" s="50"/>
      <c r="C609" s="50"/>
      <c r="D609" s="50"/>
      <c r="E609" s="54" t="s">
        <v>49</v>
      </c>
      <c r="F609" s="49">
        <f ca="1">SUM(Table339[MONTO TOTAL ESTIMADO])</f>
        <v>200000</v>
      </c>
      <c r="G609" s="50"/>
    </row>
    <row r="610" spans="1:7" ht="15.75" thickBot="1" x14ac:dyDescent="0.3">
      <c r="A610" s="50"/>
      <c r="B610" s="50"/>
      <c r="C610" s="50"/>
      <c r="D610" s="50"/>
      <c r="E610" s="55"/>
      <c r="F610" s="60"/>
      <c r="G610" s="57"/>
    </row>
    <row r="611" spans="1:7" ht="34.5" thickBot="1" x14ac:dyDescent="0.3">
      <c r="A611" s="31" t="s">
        <v>18</v>
      </c>
      <c r="B611" s="31" t="s">
        <v>19</v>
      </c>
      <c r="C611" s="31" t="s">
        <v>20</v>
      </c>
      <c r="D611" s="31" t="s">
        <v>21</v>
      </c>
      <c r="E611" s="31" t="s">
        <v>22</v>
      </c>
      <c r="F611" s="31" t="s">
        <v>23</v>
      </c>
      <c r="G611" s="50"/>
    </row>
    <row r="612" spans="1:7" ht="15.75" thickBot="1" x14ac:dyDescent="0.3">
      <c r="A612" s="33" t="s">
        <v>83</v>
      </c>
      <c r="B612" s="33" t="s">
        <v>84</v>
      </c>
      <c r="C612" s="33" t="s">
        <v>74</v>
      </c>
      <c r="D612" s="33" t="s">
        <v>52</v>
      </c>
      <c r="E612" s="33" t="s">
        <v>62</v>
      </c>
      <c r="F612" s="33"/>
      <c r="G612" s="50"/>
    </row>
    <row r="613" spans="1:7" ht="15.75" thickBot="1" x14ac:dyDescent="0.3">
      <c r="A613" s="34" t="s">
        <v>28</v>
      </c>
      <c r="B613" s="35" t="s">
        <v>29</v>
      </c>
      <c r="C613" s="51">
        <v>44963</v>
      </c>
      <c r="D613" s="34" t="s">
        <v>30</v>
      </c>
      <c r="E613" s="35" t="s">
        <v>31</v>
      </c>
      <c r="F613" s="33" t="s">
        <v>32</v>
      </c>
      <c r="G613" s="50"/>
    </row>
    <row r="614" spans="1:7" ht="15.75" thickBot="1" x14ac:dyDescent="0.3">
      <c r="A614" s="39"/>
      <c r="B614" s="35" t="s">
        <v>33</v>
      </c>
      <c r="C614" s="52">
        <f>IF(C613="","",IF(AND(MONTH(C613)&gt;=1,MONTH(C613)&lt;=3),1,IF(AND(MONTH(C613)&gt;=4,MONTH(C613)&lt;=6),2,IF(AND(MONTH(C613)&gt;=7,MONTH(C613)&lt;=9),3,4))))</f>
        <v>1</v>
      </c>
      <c r="D614" s="39"/>
      <c r="E614" s="35" t="s">
        <v>34</v>
      </c>
      <c r="F614" s="33" t="s">
        <v>35</v>
      </c>
      <c r="G614" s="50"/>
    </row>
    <row r="615" spans="1:7" ht="15.75" thickBot="1" x14ac:dyDescent="0.3">
      <c r="A615" s="39"/>
      <c r="B615" s="35" t="s">
        <v>36</v>
      </c>
      <c r="C615" s="51">
        <v>44967</v>
      </c>
      <c r="D615" s="39"/>
      <c r="E615" s="35" t="s">
        <v>37</v>
      </c>
      <c r="F615" s="33" t="s">
        <v>35</v>
      </c>
      <c r="G615" s="50"/>
    </row>
    <row r="616" spans="1:7" ht="15.75" thickBot="1" x14ac:dyDescent="0.3">
      <c r="A616" s="39"/>
      <c r="B616" s="35" t="s">
        <v>33</v>
      </c>
      <c r="C616" s="52">
        <f>IF(C615="","",IF(AND(MONTH(C615)&gt;=1,MONTH(C615)&lt;=3),1,IF(AND(MONTH(C615)&gt;=4,MONTH(C615)&lt;=6),2,IF(AND(MONTH(C615)&gt;=7,MONTH(C615)&lt;=9),3,4))))</f>
        <v>1</v>
      </c>
      <c r="D616" s="39"/>
      <c r="E616" s="35" t="s">
        <v>38</v>
      </c>
      <c r="F616" s="33" t="s">
        <v>35</v>
      </c>
      <c r="G616" s="50"/>
    </row>
    <row r="617" spans="1:7" ht="15.75" thickBot="1" x14ac:dyDescent="0.3">
      <c r="A617" s="50"/>
      <c r="B617" s="50"/>
      <c r="C617" s="50"/>
      <c r="D617" s="50"/>
      <c r="E617" s="50"/>
      <c r="F617" s="50"/>
      <c r="G617" s="50"/>
    </row>
    <row r="618" spans="1:7" ht="15.75" thickBot="1" x14ac:dyDescent="0.3">
      <c r="A618" s="41" t="s">
        <v>39</v>
      </c>
      <c r="B618" s="41" t="s">
        <v>40</v>
      </c>
      <c r="C618" s="41" t="s">
        <v>41</v>
      </c>
      <c r="D618" s="41" t="s">
        <v>42</v>
      </c>
      <c r="E618" s="41" t="s">
        <v>43</v>
      </c>
      <c r="F618" s="41" t="s">
        <v>44</v>
      </c>
      <c r="G618" s="50"/>
    </row>
    <row r="619" spans="1:7" ht="33.75" x14ac:dyDescent="0.25">
      <c r="A619" s="42">
        <v>14111611</v>
      </c>
      <c r="B619" s="43" t="str">
        <f ca="1">IFERROR(INDEX(UNSPSCDes,MATCH(INDIRECT(ADDRESS(ROW(),COLUMN()-1,4)),UNSPSCCode,0)),"")</f>
        <v>Tarjetas de invitación o de anuncio</v>
      </c>
      <c r="C619" s="42" t="s">
        <v>47</v>
      </c>
      <c r="D619" s="42">
        <v>1</v>
      </c>
      <c r="E619" s="45">
        <v>675</v>
      </c>
      <c r="F619" s="46">
        <f ca="1">INDIRECT(ADDRESS(ROW(),COLUMN()-2,4))*INDIRECT(ADDRESS(ROW(),COLUMN()-1,4))</f>
        <v>675</v>
      </c>
      <c r="G619" s="50"/>
    </row>
    <row r="620" spans="1:7" ht="22.5" x14ac:dyDescent="0.25">
      <c r="A620" s="42">
        <v>82121503</v>
      </c>
      <c r="B620" s="43" t="str">
        <f ca="1">IFERROR(INDEX(UNSPSCDes,MATCH(INDIRECT(ADDRESS(ROW(),COLUMN()-1,4)),UNSPSCCode,0)),"")</f>
        <v>Impresión digital</v>
      </c>
      <c r="C620" s="42" t="s">
        <v>46</v>
      </c>
      <c r="D620" s="42">
        <v>500</v>
      </c>
      <c r="E620" s="45">
        <v>45</v>
      </c>
      <c r="F620" s="46">
        <f ca="1">INDIRECT(ADDRESS(ROW(),COLUMN()-2,4))*INDIRECT(ADDRESS(ROW(),COLUMN()-1,4))</f>
        <v>22500</v>
      </c>
      <c r="G620" s="50"/>
    </row>
    <row r="621" spans="1:7" ht="33.75" x14ac:dyDescent="0.25">
      <c r="A621" s="42">
        <v>80121704</v>
      </c>
      <c r="B621" s="43" t="str">
        <f ca="1">IFERROR(INDEX(UNSPSCDes,MATCH(INDIRECT(ADDRESS(ROW(),COLUMN()-1,4)),UNSPSCCode,0)),"")</f>
        <v>Servicios legales sobre contratos</v>
      </c>
      <c r="C621" s="42" t="s">
        <v>46</v>
      </c>
      <c r="D621" s="42">
        <v>10</v>
      </c>
      <c r="E621" s="45">
        <v>5000</v>
      </c>
      <c r="F621" s="46">
        <f ca="1">INDIRECT(ADDRESS(ROW(),COLUMN()-2,4))*INDIRECT(ADDRESS(ROW(),COLUMN()-1,4))</f>
        <v>50000</v>
      </c>
      <c r="G621" s="50"/>
    </row>
    <row r="622" spans="1:7" x14ac:dyDescent="0.25">
      <c r="A622" s="50"/>
      <c r="B622" s="50"/>
      <c r="C622" s="50"/>
      <c r="D622" s="50"/>
      <c r="E622" s="54" t="s">
        <v>49</v>
      </c>
      <c r="F622" s="49">
        <f ca="1">SUM(Table340[MONTO TOTAL ESTIMADO])</f>
        <v>73175</v>
      </c>
      <c r="G622" s="50"/>
    </row>
    <row r="623" spans="1:7" ht="15.75" thickBot="1" x14ac:dyDescent="0.3">
      <c r="A623" s="50"/>
      <c r="B623" s="50"/>
      <c r="C623" s="50"/>
      <c r="D623" s="50"/>
      <c r="E623" s="55"/>
      <c r="F623" s="60"/>
      <c r="G623" s="57"/>
    </row>
    <row r="624" spans="1:7" ht="34.5" thickBot="1" x14ac:dyDescent="0.3">
      <c r="A624" s="31" t="s">
        <v>18</v>
      </c>
      <c r="B624" s="31" t="s">
        <v>19</v>
      </c>
      <c r="C624" s="31" t="s">
        <v>20</v>
      </c>
      <c r="D624" s="31" t="s">
        <v>21</v>
      </c>
      <c r="E624" s="31" t="s">
        <v>22</v>
      </c>
      <c r="F624" s="31" t="s">
        <v>23</v>
      </c>
      <c r="G624" s="50"/>
    </row>
    <row r="625" spans="1:7" ht="15.75" thickBot="1" x14ac:dyDescent="0.3">
      <c r="A625" s="33" t="s">
        <v>83</v>
      </c>
      <c r="B625" s="33" t="s">
        <v>84</v>
      </c>
      <c r="C625" s="33" t="s">
        <v>74</v>
      </c>
      <c r="D625" s="33" t="s">
        <v>52</v>
      </c>
      <c r="E625" s="33" t="s">
        <v>62</v>
      </c>
      <c r="F625" s="33"/>
      <c r="G625" s="50"/>
    </row>
    <row r="626" spans="1:7" ht="15.75" thickBot="1" x14ac:dyDescent="0.3">
      <c r="A626" s="34" t="s">
        <v>28</v>
      </c>
      <c r="B626" s="35" t="s">
        <v>29</v>
      </c>
      <c r="C626" s="51">
        <v>45006</v>
      </c>
      <c r="D626" s="34" t="s">
        <v>30</v>
      </c>
      <c r="E626" s="35" t="s">
        <v>31</v>
      </c>
      <c r="F626" s="33" t="s">
        <v>32</v>
      </c>
      <c r="G626" s="50"/>
    </row>
    <row r="627" spans="1:7" ht="15.75" thickBot="1" x14ac:dyDescent="0.3">
      <c r="A627" s="39"/>
      <c r="B627" s="35" t="s">
        <v>33</v>
      </c>
      <c r="C627" s="52">
        <f>IF(C626="","",IF(AND(MONTH(C626)&gt;=1,MONTH(C626)&lt;=3),1,IF(AND(MONTH(C626)&gt;=4,MONTH(C626)&lt;=6),2,IF(AND(MONTH(C626)&gt;=7,MONTH(C626)&lt;=9),3,4))))</f>
        <v>1</v>
      </c>
      <c r="D627" s="39"/>
      <c r="E627" s="35" t="s">
        <v>34</v>
      </c>
      <c r="F627" s="33" t="s">
        <v>35</v>
      </c>
      <c r="G627" s="50"/>
    </row>
    <row r="628" spans="1:7" ht="15.75" thickBot="1" x14ac:dyDescent="0.3">
      <c r="A628" s="39"/>
      <c r="B628" s="35" t="s">
        <v>36</v>
      </c>
      <c r="C628" s="51">
        <v>45014</v>
      </c>
      <c r="D628" s="39"/>
      <c r="E628" s="35" t="s">
        <v>37</v>
      </c>
      <c r="F628" s="33" t="s">
        <v>35</v>
      </c>
      <c r="G628" s="50"/>
    </row>
    <row r="629" spans="1:7" ht="15.75" thickBot="1" x14ac:dyDescent="0.3">
      <c r="A629" s="39"/>
      <c r="B629" s="35" t="s">
        <v>33</v>
      </c>
      <c r="C629" s="52">
        <f>IF(C628="","",IF(AND(MONTH(C628)&gt;=1,MONTH(C628)&lt;=3),1,IF(AND(MONTH(C628)&gt;=4,MONTH(C628)&lt;=6),2,IF(AND(MONTH(C628)&gt;=7,MONTH(C628)&lt;=9),3,4))))</f>
        <v>1</v>
      </c>
      <c r="D629" s="39"/>
      <c r="E629" s="35" t="s">
        <v>38</v>
      </c>
      <c r="F629" s="33" t="s">
        <v>35</v>
      </c>
      <c r="G629" s="50"/>
    </row>
    <row r="630" spans="1:7" ht="15.75" thickBot="1" x14ac:dyDescent="0.3">
      <c r="A630" s="50"/>
      <c r="B630" s="50"/>
      <c r="C630" s="50"/>
      <c r="D630" s="50"/>
      <c r="E630" s="50"/>
      <c r="F630" s="50"/>
      <c r="G630" s="50"/>
    </row>
    <row r="631" spans="1:7" ht="15.75" thickBot="1" x14ac:dyDescent="0.3">
      <c r="A631" s="41" t="s">
        <v>39</v>
      </c>
      <c r="B631" s="41" t="s">
        <v>40</v>
      </c>
      <c r="C631" s="41" t="s">
        <v>41</v>
      </c>
      <c r="D631" s="41" t="s">
        <v>42</v>
      </c>
      <c r="E631" s="41" t="s">
        <v>43</v>
      </c>
      <c r="F631" s="41" t="s">
        <v>44</v>
      </c>
      <c r="G631" s="50"/>
    </row>
    <row r="632" spans="1:7" ht="33.75" x14ac:dyDescent="0.25">
      <c r="A632" s="42">
        <v>80121704</v>
      </c>
      <c r="B632" s="43" t="str">
        <f ca="1">IFERROR(INDEX(UNSPSCDes,MATCH(INDIRECT(ADDRESS(ROW(),COLUMN()-1,4)),UNSPSCCode,0)),"")</f>
        <v>Servicios legales sobre contratos</v>
      </c>
      <c r="C632" s="42" t="s">
        <v>46</v>
      </c>
      <c r="D632" s="42">
        <v>15</v>
      </c>
      <c r="E632" s="45">
        <v>5000</v>
      </c>
      <c r="F632" s="46">
        <f ca="1">INDIRECT(ADDRESS(ROW(),COLUMN()-2,4))*INDIRECT(ADDRESS(ROW(),COLUMN()-1,4))</f>
        <v>75000</v>
      </c>
      <c r="G632" s="50"/>
    </row>
    <row r="633" spans="1:7" x14ac:dyDescent="0.25">
      <c r="A633" s="50"/>
      <c r="B633" s="50"/>
      <c r="C633" s="50"/>
      <c r="D633" s="50"/>
      <c r="E633" s="54" t="s">
        <v>49</v>
      </c>
      <c r="F633" s="49">
        <f ca="1">SUM(Table341[MONTO TOTAL ESTIMADO])</f>
        <v>75000</v>
      </c>
      <c r="G633" s="50"/>
    </row>
    <row r="634" spans="1:7" ht="15.75" thickBot="1" x14ac:dyDescent="0.3">
      <c r="A634" s="50"/>
      <c r="B634" s="50"/>
      <c r="C634" s="50"/>
      <c r="D634" s="50"/>
      <c r="E634" s="55"/>
      <c r="F634" s="60"/>
      <c r="G634" s="57"/>
    </row>
    <row r="635" spans="1:7" ht="34.5" thickBot="1" x14ac:dyDescent="0.3">
      <c r="A635" s="31" t="s">
        <v>18</v>
      </c>
      <c r="B635" s="31" t="s">
        <v>19</v>
      </c>
      <c r="C635" s="31" t="s">
        <v>20</v>
      </c>
      <c r="D635" s="31" t="s">
        <v>21</v>
      </c>
      <c r="E635" s="31" t="s">
        <v>22</v>
      </c>
      <c r="F635" s="31" t="s">
        <v>23</v>
      </c>
      <c r="G635" s="50"/>
    </row>
    <row r="636" spans="1:7" ht="15.75" thickBot="1" x14ac:dyDescent="0.3">
      <c r="A636" s="33" t="s">
        <v>107</v>
      </c>
      <c r="B636" s="33" t="s">
        <v>108</v>
      </c>
      <c r="C636" s="33" t="s">
        <v>26</v>
      </c>
      <c r="D636" s="33" t="s">
        <v>27</v>
      </c>
      <c r="E636" s="33" t="s">
        <v>56</v>
      </c>
      <c r="F636" s="33"/>
      <c r="G636" s="50"/>
    </row>
    <row r="637" spans="1:7" ht="15.75" thickBot="1" x14ac:dyDescent="0.3">
      <c r="A637" s="34" t="s">
        <v>28</v>
      </c>
      <c r="B637" s="35" t="s">
        <v>29</v>
      </c>
      <c r="C637" s="51">
        <v>44998</v>
      </c>
      <c r="D637" s="34" t="s">
        <v>30</v>
      </c>
      <c r="E637" s="35" t="s">
        <v>31</v>
      </c>
      <c r="F637" s="33" t="s">
        <v>32</v>
      </c>
      <c r="G637" s="50"/>
    </row>
    <row r="638" spans="1:7" ht="15.75" thickBot="1" x14ac:dyDescent="0.3">
      <c r="A638" s="39"/>
      <c r="B638" s="35" t="s">
        <v>33</v>
      </c>
      <c r="C638" s="52">
        <f>IF(C637="","",IF(AND(MONTH(C637)&gt;=1,MONTH(C637)&lt;=3),1,IF(AND(MONTH(C637)&gt;=4,MONTH(C637)&lt;=6),2,IF(AND(MONTH(C637)&gt;=7,MONTH(C637)&lt;=9),3,4))))</f>
        <v>1</v>
      </c>
      <c r="D638" s="39"/>
      <c r="E638" s="35" t="s">
        <v>34</v>
      </c>
      <c r="F638" s="33" t="s">
        <v>35</v>
      </c>
      <c r="G638" s="50"/>
    </row>
    <row r="639" spans="1:7" ht="15.75" thickBot="1" x14ac:dyDescent="0.3">
      <c r="A639" s="39"/>
      <c r="B639" s="35" t="s">
        <v>36</v>
      </c>
      <c r="C639" s="51">
        <v>45006</v>
      </c>
      <c r="D639" s="39"/>
      <c r="E639" s="35" t="s">
        <v>37</v>
      </c>
      <c r="F639" s="33" t="s">
        <v>35</v>
      </c>
      <c r="G639" s="50"/>
    </row>
    <row r="640" spans="1:7" ht="15.75" thickBot="1" x14ac:dyDescent="0.3">
      <c r="A640" s="39"/>
      <c r="B640" s="35" t="s">
        <v>33</v>
      </c>
      <c r="C640" s="52">
        <f>IF(C639="","",IF(AND(MONTH(C639)&gt;=1,MONTH(C639)&lt;=3),1,IF(AND(MONTH(C639)&gt;=4,MONTH(C639)&lt;=6),2,IF(AND(MONTH(C639)&gt;=7,MONTH(C639)&lt;=9),3,4))))</f>
        <v>1</v>
      </c>
      <c r="D640" s="39"/>
      <c r="E640" s="35" t="s">
        <v>38</v>
      </c>
      <c r="F640" s="33" t="s">
        <v>35</v>
      </c>
      <c r="G640" s="50"/>
    </row>
    <row r="641" spans="1:7" ht="15.75" thickBot="1" x14ac:dyDescent="0.3">
      <c r="A641" s="50"/>
      <c r="B641" s="50"/>
      <c r="C641" s="50"/>
      <c r="D641" s="50"/>
      <c r="E641" s="50"/>
      <c r="F641" s="50"/>
      <c r="G641" s="50"/>
    </row>
    <row r="642" spans="1:7" ht="15.75" thickBot="1" x14ac:dyDescent="0.3">
      <c r="A642" s="41" t="s">
        <v>39</v>
      </c>
      <c r="B642" s="41" t="s">
        <v>40</v>
      </c>
      <c r="C642" s="41" t="s">
        <v>41</v>
      </c>
      <c r="D642" s="41" t="s">
        <v>42</v>
      </c>
      <c r="E642" s="41" t="s">
        <v>43</v>
      </c>
      <c r="F642" s="41" t="s">
        <v>44</v>
      </c>
      <c r="G642" s="50"/>
    </row>
    <row r="643" spans="1:7" ht="33.75" x14ac:dyDescent="0.25">
      <c r="A643" s="42">
        <v>43202005</v>
      </c>
      <c r="B643" s="43" t="str">
        <f ca="1">IFERROR(INDEX(UNSPSCDes,MATCH(INDIRECT(ADDRESS(ROW(),COLUMN()-1,4)),UNSPSCCode,0)),"")</f>
        <v>Tarjeta flash de almacenamiento de memoria</v>
      </c>
      <c r="C643" s="42" t="s">
        <v>46</v>
      </c>
      <c r="D643" s="42">
        <v>12</v>
      </c>
      <c r="E643" s="45">
        <v>40000</v>
      </c>
      <c r="F643" s="46">
        <f ca="1">INDIRECT(ADDRESS(ROW(),COLUMN()-2,4))*INDIRECT(ADDRESS(ROW(),COLUMN()-1,4))</f>
        <v>480000</v>
      </c>
      <c r="G643" s="50"/>
    </row>
    <row r="644" spans="1:7" x14ac:dyDescent="0.25">
      <c r="A644" s="50"/>
      <c r="B644" s="50"/>
      <c r="C644" s="50"/>
      <c r="D644" s="50"/>
      <c r="E644" s="54" t="s">
        <v>49</v>
      </c>
      <c r="F644" s="49">
        <f ca="1">SUM(Table342[MONTO TOTAL ESTIMADO])</f>
        <v>480000</v>
      </c>
      <c r="G644" s="50"/>
    </row>
    <row r="645" spans="1:7" ht="15.75" thickBot="1" x14ac:dyDescent="0.3">
      <c r="A645" s="50"/>
      <c r="B645" s="50"/>
      <c r="C645" s="50"/>
      <c r="D645" s="50"/>
      <c r="E645" s="55"/>
      <c r="F645" s="60"/>
      <c r="G645" s="57"/>
    </row>
    <row r="646" spans="1:7" ht="34.5" thickBot="1" x14ac:dyDescent="0.3">
      <c r="A646" s="31" t="s">
        <v>18</v>
      </c>
      <c r="B646" s="31" t="s">
        <v>19</v>
      </c>
      <c r="C646" s="31" t="s">
        <v>20</v>
      </c>
      <c r="D646" s="31" t="s">
        <v>21</v>
      </c>
      <c r="E646" s="31" t="s">
        <v>22</v>
      </c>
      <c r="F646" s="31" t="s">
        <v>23</v>
      </c>
      <c r="G646" s="50"/>
    </row>
    <row r="647" spans="1:7" ht="15.75" thickBot="1" x14ac:dyDescent="0.3">
      <c r="A647" s="33" t="s">
        <v>83</v>
      </c>
      <c r="B647" s="33" t="s">
        <v>84</v>
      </c>
      <c r="C647" s="33" t="s">
        <v>74</v>
      </c>
      <c r="D647" s="33" t="s">
        <v>52</v>
      </c>
      <c r="E647" s="33" t="s">
        <v>62</v>
      </c>
      <c r="F647" s="33"/>
      <c r="G647" s="50"/>
    </row>
    <row r="648" spans="1:7" ht="15.75" thickBot="1" x14ac:dyDescent="0.3">
      <c r="A648" s="34" t="s">
        <v>28</v>
      </c>
      <c r="B648" s="35" t="s">
        <v>29</v>
      </c>
      <c r="C648" s="51">
        <v>44974</v>
      </c>
      <c r="D648" s="34" t="s">
        <v>30</v>
      </c>
      <c r="E648" s="35" t="s">
        <v>31</v>
      </c>
      <c r="F648" s="33" t="s">
        <v>32</v>
      </c>
      <c r="G648" s="50"/>
    </row>
    <row r="649" spans="1:7" ht="15.75" thickBot="1" x14ac:dyDescent="0.3">
      <c r="A649" s="39"/>
      <c r="B649" s="35" t="s">
        <v>33</v>
      </c>
      <c r="C649" s="52">
        <f>IF(C648="","",IF(AND(MONTH(C648)&gt;=1,MONTH(C648)&lt;=3),1,IF(AND(MONTH(C648)&gt;=4,MONTH(C648)&lt;=6),2,IF(AND(MONTH(C648)&gt;=7,MONTH(C648)&lt;=9),3,4))))</f>
        <v>1</v>
      </c>
      <c r="D649" s="39"/>
      <c r="E649" s="35" t="s">
        <v>34</v>
      </c>
      <c r="F649" s="33" t="s">
        <v>35</v>
      </c>
      <c r="G649" s="50"/>
    </row>
    <row r="650" spans="1:7" ht="15.75" thickBot="1" x14ac:dyDescent="0.3">
      <c r="A650" s="39"/>
      <c r="B650" s="35" t="s">
        <v>36</v>
      </c>
      <c r="C650" s="51">
        <v>44979</v>
      </c>
      <c r="D650" s="39"/>
      <c r="E650" s="35" t="s">
        <v>37</v>
      </c>
      <c r="F650" s="33" t="s">
        <v>35</v>
      </c>
      <c r="G650" s="50"/>
    </row>
    <row r="651" spans="1:7" ht="15.75" thickBot="1" x14ac:dyDescent="0.3">
      <c r="A651" s="39"/>
      <c r="B651" s="35" t="s">
        <v>33</v>
      </c>
      <c r="C651" s="52">
        <f>IF(C650="","",IF(AND(MONTH(C650)&gt;=1,MONTH(C650)&lt;=3),1,IF(AND(MONTH(C650)&gt;=4,MONTH(C650)&lt;=6),2,IF(AND(MONTH(C650)&gt;=7,MONTH(C650)&lt;=9),3,4))))</f>
        <v>1</v>
      </c>
      <c r="D651" s="39"/>
      <c r="E651" s="35" t="s">
        <v>38</v>
      </c>
      <c r="F651" s="33" t="s">
        <v>35</v>
      </c>
      <c r="G651" s="50"/>
    </row>
    <row r="652" spans="1:7" ht="15.75" thickBot="1" x14ac:dyDescent="0.3">
      <c r="A652" s="50"/>
      <c r="B652" s="50"/>
      <c r="C652" s="50"/>
      <c r="D652" s="50"/>
      <c r="E652" s="50"/>
      <c r="F652" s="50"/>
      <c r="G652" s="50"/>
    </row>
    <row r="653" spans="1:7" ht="15.75" thickBot="1" x14ac:dyDescent="0.3">
      <c r="A653" s="41" t="s">
        <v>39</v>
      </c>
      <c r="B653" s="41" t="s">
        <v>40</v>
      </c>
      <c r="C653" s="41" t="s">
        <v>41</v>
      </c>
      <c r="D653" s="41" t="s">
        <v>42</v>
      </c>
      <c r="E653" s="41" t="s">
        <v>43</v>
      </c>
      <c r="F653" s="41" t="s">
        <v>44</v>
      </c>
      <c r="G653" s="50"/>
    </row>
    <row r="654" spans="1:7" x14ac:dyDescent="0.25">
      <c r="A654" s="42">
        <v>49101702</v>
      </c>
      <c r="B654" s="43" t="str">
        <f ca="1">IFERROR(INDEX(UNSPSCDes,MATCH(INDIRECT(ADDRESS(ROW(),COLUMN()-1,4)),UNSPSCCode,0)),"")</f>
        <v>Trofeos</v>
      </c>
      <c r="C654" s="42" t="s">
        <v>46</v>
      </c>
      <c r="D654" s="42">
        <v>5</v>
      </c>
      <c r="E654" s="45">
        <v>5200</v>
      </c>
      <c r="F654" s="46">
        <f ca="1">INDIRECT(ADDRESS(ROW(),COLUMN()-2,4))*INDIRECT(ADDRESS(ROW(),COLUMN()-1,4))</f>
        <v>26000</v>
      </c>
      <c r="G654" s="50"/>
    </row>
    <row r="655" spans="1:7" x14ac:dyDescent="0.25">
      <c r="A655" s="50"/>
      <c r="B655" s="50"/>
      <c r="C655" s="50"/>
      <c r="D655" s="50"/>
      <c r="E655" s="54" t="s">
        <v>49</v>
      </c>
      <c r="F655" s="49">
        <f ca="1">SUM(Table343[MONTO TOTAL ESTIMADO])</f>
        <v>26000</v>
      </c>
      <c r="G655" s="50"/>
    </row>
    <row r="656" spans="1:7" ht="15.75" thickBot="1" x14ac:dyDescent="0.3">
      <c r="A656" s="50"/>
      <c r="B656" s="50"/>
      <c r="C656" s="50"/>
      <c r="D656" s="50"/>
      <c r="E656" s="55"/>
      <c r="F656" s="60"/>
      <c r="G656" s="57"/>
    </row>
    <row r="657" spans="1:7" ht="34.5" thickBot="1" x14ac:dyDescent="0.3">
      <c r="A657" s="31" t="s">
        <v>18</v>
      </c>
      <c r="B657" s="31" t="s">
        <v>19</v>
      </c>
      <c r="C657" s="31" t="s">
        <v>20</v>
      </c>
      <c r="D657" s="31" t="s">
        <v>21</v>
      </c>
      <c r="E657" s="31" t="s">
        <v>22</v>
      </c>
      <c r="F657" s="31" t="s">
        <v>23</v>
      </c>
      <c r="G657" s="50"/>
    </row>
    <row r="658" spans="1:7" ht="15.75" thickBot="1" x14ac:dyDescent="0.3">
      <c r="A658" s="33" t="s">
        <v>109</v>
      </c>
      <c r="B658" s="33" t="s">
        <v>110</v>
      </c>
      <c r="C658" s="33" t="s">
        <v>26</v>
      </c>
      <c r="D658" s="33" t="s">
        <v>75</v>
      </c>
      <c r="E658" s="33" t="s">
        <v>56</v>
      </c>
      <c r="F658" s="33"/>
      <c r="G658" s="50"/>
    </row>
    <row r="659" spans="1:7" ht="15.75" thickBot="1" x14ac:dyDescent="0.3">
      <c r="A659" s="34" t="s">
        <v>28</v>
      </c>
      <c r="B659" s="35" t="s">
        <v>29</v>
      </c>
      <c r="C659" s="51">
        <v>45007</v>
      </c>
      <c r="D659" s="34" t="s">
        <v>30</v>
      </c>
      <c r="E659" s="35" t="s">
        <v>31</v>
      </c>
      <c r="F659" s="33" t="s">
        <v>32</v>
      </c>
      <c r="G659" s="50"/>
    </row>
    <row r="660" spans="1:7" ht="15.75" thickBot="1" x14ac:dyDescent="0.3">
      <c r="A660" s="39"/>
      <c r="B660" s="35" t="s">
        <v>33</v>
      </c>
      <c r="C660" s="52">
        <f>IF(C659="","",IF(AND(MONTH(C659)&gt;=1,MONTH(C659)&lt;=3),1,IF(AND(MONTH(C659)&gt;=4,MONTH(C659)&lt;=6),2,IF(AND(MONTH(C659)&gt;=7,MONTH(C659)&lt;=9),3,4))))</f>
        <v>1</v>
      </c>
      <c r="D660" s="39"/>
      <c r="E660" s="35" t="s">
        <v>34</v>
      </c>
      <c r="F660" s="33" t="s">
        <v>35</v>
      </c>
      <c r="G660" s="50"/>
    </row>
    <row r="661" spans="1:7" ht="15.75" thickBot="1" x14ac:dyDescent="0.3">
      <c r="A661" s="39"/>
      <c r="B661" s="35" t="s">
        <v>36</v>
      </c>
      <c r="C661" s="51">
        <v>45015</v>
      </c>
      <c r="D661" s="39"/>
      <c r="E661" s="35" t="s">
        <v>37</v>
      </c>
      <c r="F661" s="33" t="s">
        <v>35</v>
      </c>
      <c r="G661" s="50"/>
    </row>
    <row r="662" spans="1:7" ht="15.75" thickBot="1" x14ac:dyDescent="0.3">
      <c r="A662" s="39"/>
      <c r="B662" s="35" t="s">
        <v>33</v>
      </c>
      <c r="C662" s="52">
        <f>IF(C661="","",IF(AND(MONTH(C661)&gt;=1,MONTH(C661)&lt;=3),1,IF(AND(MONTH(C661)&gt;=4,MONTH(C661)&lt;=6),2,IF(AND(MONTH(C661)&gt;=7,MONTH(C661)&lt;=9),3,4))))</f>
        <v>1</v>
      </c>
      <c r="D662" s="39"/>
      <c r="E662" s="35" t="s">
        <v>38</v>
      </c>
      <c r="F662" s="33" t="s">
        <v>35</v>
      </c>
      <c r="G662" s="50"/>
    </row>
    <row r="663" spans="1:7" ht="15.75" thickBot="1" x14ac:dyDescent="0.3">
      <c r="A663" s="50"/>
      <c r="B663" s="50"/>
      <c r="C663" s="50"/>
      <c r="D663" s="50"/>
      <c r="E663" s="50"/>
      <c r="F663" s="50"/>
      <c r="G663" s="50"/>
    </row>
    <row r="664" spans="1:7" ht="15.75" thickBot="1" x14ac:dyDescent="0.3">
      <c r="A664" s="41" t="s">
        <v>39</v>
      </c>
      <c r="B664" s="41" t="s">
        <v>40</v>
      </c>
      <c r="C664" s="41" t="s">
        <v>41</v>
      </c>
      <c r="D664" s="41" t="s">
        <v>42</v>
      </c>
      <c r="E664" s="41" t="s">
        <v>43</v>
      </c>
      <c r="F664" s="41" t="s">
        <v>44</v>
      </c>
      <c r="G664" s="50"/>
    </row>
    <row r="665" spans="1:7" ht="45" x14ac:dyDescent="0.25">
      <c r="A665" s="42">
        <v>43222615</v>
      </c>
      <c r="B665" s="43" t="str">
        <f ca="1">IFERROR(INDEX(UNSPSCDes,MATCH(INDIRECT(ADDRESS(ROW(),COLUMN()-1,4)),UNSPSCCode,0)),"")</f>
        <v>Interruptor de área de almacenamiento de red san</v>
      </c>
      <c r="C665" s="42" t="s">
        <v>46</v>
      </c>
      <c r="D665" s="42">
        <v>6</v>
      </c>
      <c r="E665" s="45">
        <v>300000</v>
      </c>
      <c r="F665" s="46">
        <f ca="1">INDIRECT(ADDRESS(ROW(),COLUMN()-2,4))*INDIRECT(ADDRESS(ROW(),COLUMN()-1,4))</f>
        <v>1800000</v>
      </c>
      <c r="G665" s="50"/>
    </row>
    <row r="666" spans="1:7" ht="33.75" x14ac:dyDescent="0.25">
      <c r="A666" s="42">
        <v>43231605</v>
      </c>
      <c r="B666" s="43" t="str">
        <f ca="1">IFERROR(INDEX(UNSPSCDes,MATCH(INDIRECT(ADDRESS(ROW(),COLUMN()-1,4)),UNSPSCCode,0)),"")</f>
        <v>Software de contabilidad de tiempo</v>
      </c>
      <c r="C666" s="42" t="s">
        <v>46</v>
      </c>
      <c r="D666" s="42">
        <v>1</v>
      </c>
      <c r="E666" s="45">
        <v>350000</v>
      </c>
      <c r="F666" s="46">
        <f ca="1">INDIRECT(ADDRESS(ROW(),COLUMN()-2,4))*INDIRECT(ADDRESS(ROW(),COLUMN()-1,4))</f>
        <v>350000</v>
      </c>
      <c r="G666" s="50"/>
    </row>
    <row r="667" spans="1:7" x14ac:dyDescent="0.25">
      <c r="A667" s="50"/>
      <c r="B667" s="50"/>
      <c r="C667" s="50"/>
      <c r="D667" s="50"/>
      <c r="E667" s="54" t="s">
        <v>49</v>
      </c>
      <c r="F667" s="49">
        <f ca="1">SUM(Table344[MONTO TOTAL ESTIMADO])</f>
        <v>2150000</v>
      </c>
      <c r="G667" s="50"/>
    </row>
    <row r="668" spans="1:7" ht="15.75" thickBot="1" x14ac:dyDescent="0.3">
      <c r="A668" s="50"/>
      <c r="B668" s="50"/>
      <c r="C668" s="50"/>
      <c r="D668" s="50"/>
      <c r="E668" s="55"/>
      <c r="F668" s="60"/>
      <c r="G668" s="57"/>
    </row>
    <row r="669" spans="1:7" ht="34.5" thickBot="1" x14ac:dyDescent="0.3">
      <c r="A669" s="31" t="s">
        <v>18</v>
      </c>
      <c r="B669" s="31" t="s">
        <v>19</v>
      </c>
      <c r="C669" s="31" t="s">
        <v>20</v>
      </c>
      <c r="D669" s="31" t="s">
        <v>21</v>
      </c>
      <c r="E669" s="31" t="s">
        <v>22</v>
      </c>
      <c r="F669" s="31" t="s">
        <v>23</v>
      </c>
      <c r="G669" s="50"/>
    </row>
    <row r="670" spans="1:7" ht="15.75" thickBot="1" x14ac:dyDescent="0.3">
      <c r="A670" s="33" t="s">
        <v>111</v>
      </c>
      <c r="B670" s="33" t="s">
        <v>112</v>
      </c>
      <c r="C670" s="33" t="s">
        <v>74</v>
      </c>
      <c r="D670" s="33" t="s">
        <v>52</v>
      </c>
      <c r="E670" s="33" t="s">
        <v>56</v>
      </c>
      <c r="F670" s="33"/>
      <c r="G670" s="50"/>
    </row>
    <row r="671" spans="1:7" ht="15.75" thickBot="1" x14ac:dyDescent="0.3">
      <c r="A671" s="34" t="s">
        <v>28</v>
      </c>
      <c r="B671" s="35" t="s">
        <v>29</v>
      </c>
      <c r="C671" s="51">
        <v>44995</v>
      </c>
      <c r="D671" s="34" t="s">
        <v>30</v>
      </c>
      <c r="E671" s="35" t="s">
        <v>31</v>
      </c>
      <c r="F671" s="33" t="s">
        <v>32</v>
      </c>
      <c r="G671" s="50"/>
    </row>
    <row r="672" spans="1:7" ht="15.75" thickBot="1" x14ac:dyDescent="0.3">
      <c r="A672" s="39"/>
      <c r="B672" s="35" t="s">
        <v>33</v>
      </c>
      <c r="C672" s="52">
        <f>IF(C671="","",IF(AND(MONTH(C671)&gt;=1,MONTH(C671)&lt;=3),1,IF(AND(MONTH(C671)&gt;=4,MONTH(C671)&lt;=6),2,IF(AND(MONTH(C671)&gt;=7,MONTH(C671)&lt;=9),3,4))))</f>
        <v>1</v>
      </c>
      <c r="D672" s="39"/>
      <c r="E672" s="35" t="s">
        <v>34</v>
      </c>
      <c r="F672" s="33" t="s">
        <v>35</v>
      </c>
      <c r="G672" s="50"/>
    </row>
    <row r="673" spans="1:7" ht="15.75" thickBot="1" x14ac:dyDescent="0.3">
      <c r="A673" s="39"/>
      <c r="B673" s="35" t="s">
        <v>36</v>
      </c>
      <c r="C673" s="51">
        <v>45002</v>
      </c>
      <c r="D673" s="39"/>
      <c r="E673" s="35" t="s">
        <v>37</v>
      </c>
      <c r="F673" s="33" t="s">
        <v>35</v>
      </c>
      <c r="G673" s="50"/>
    </row>
    <row r="674" spans="1:7" ht="15.75" thickBot="1" x14ac:dyDescent="0.3">
      <c r="A674" s="39"/>
      <c r="B674" s="35" t="s">
        <v>33</v>
      </c>
      <c r="C674" s="52">
        <f>IF(C673="","",IF(AND(MONTH(C673)&gt;=1,MONTH(C673)&lt;=3),1,IF(AND(MONTH(C673)&gt;=4,MONTH(C673)&lt;=6),2,IF(AND(MONTH(C673)&gt;=7,MONTH(C673)&lt;=9),3,4))))</f>
        <v>1</v>
      </c>
      <c r="D674" s="39"/>
      <c r="E674" s="35" t="s">
        <v>38</v>
      </c>
      <c r="F674" s="33" t="s">
        <v>35</v>
      </c>
      <c r="G674" s="50"/>
    </row>
    <row r="675" spans="1:7" ht="15.75" thickBot="1" x14ac:dyDescent="0.3">
      <c r="A675" s="50"/>
      <c r="B675" s="50"/>
      <c r="C675" s="50"/>
      <c r="D675" s="50"/>
      <c r="E675" s="50"/>
      <c r="F675" s="50"/>
      <c r="G675" s="50"/>
    </row>
    <row r="676" spans="1:7" ht="15.75" thickBot="1" x14ac:dyDescent="0.3">
      <c r="A676" s="41" t="s">
        <v>39</v>
      </c>
      <c r="B676" s="41" t="s">
        <v>40</v>
      </c>
      <c r="C676" s="41" t="s">
        <v>41</v>
      </c>
      <c r="D676" s="41" t="s">
        <v>42</v>
      </c>
      <c r="E676" s="41" t="s">
        <v>43</v>
      </c>
      <c r="F676" s="41" t="s">
        <v>44</v>
      </c>
      <c r="G676" s="50"/>
    </row>
    <row r="677" spans="1:7" ht="56.25" x14ac:dyDescent="0.25">
      <c r="A677" s="42">
        <v>81111812</v>
      </c>
      <c r="B677" s="43" t="str">
        <f ca="1">IFERROR(INDEX(UNSPSCDes,MATCH(INDIRECT(ADDRESS(ROW(),COLUMN()-1,4)),UNSPSCCode,0)),"")</f>
        <v>Servicio de mantenimiento o soporte del hardware del computador</v>
      </c>
      <c r="C677" s="42" t="s">
        <v>46</v>
      </c>
      <c r="D677" s="42">
        <v>1</v>
      </c>
      <c r="E677" s="45">
        <v>50000</v>
      </c>
      <c r="F677" s="46">
        <f ca="1">INDIRECT(ADDRESS(ROW(),COLUMN()-2,4))*INDIRECT(ADDRESS(ROW(),COLUMN()-1,4))</f>
        <v>50000</v>
      </c>
      <c r="G677" s="50"/>
    </row>
    <row r="678" spans="1:7" x14ac:dyDescent="0.25">
      <c r="A678" s="50"/>
      <c r="B678" s="50"/>
      <c r="C678" s="50"/>
      <c r="D678" s="50"/>
      <c r="E678" s="54" t="s">
        <v>49</v>
      </c>
      <c r="F678" s="49">
        <f ca="1">SUM(Table345[MONTO TOTAL ESTIMADO])</f>
        <v>50000</v>
      </c>
      <c r="G678" s="50"/>
    </row>
    <row r="679" spans="1:7" ht="15.75" thickBot="1" x14ac:dyDescent="0.3">
      <c r="A679" s="50"/>
      <c r="B679" s="50"/>
      <c r="C679" s="50"/>
      <c r="D679" s="50"/>
      <c r="E679" s="55"/>
      <c r="F679" s="60"/>
      <c r="G679" s="57"/>
    </row>
    <row r="680" spans="1:7" ht="34.5" thickBot="1" x14ac:dyDescent="0.3">
      <c r="A680" s="31" t="s">
        <v>18</v>
      </c>
      <c r="B680" s="31" t="s">
        <v>19</v>
      </c>
      <c r="C680" s="31" t="s">
        <v>20</v>
      </c>
      <c r="D680" s="31" t="s">
        <v>21</v>
      </c>
      <c r="E680" s="31" t="s">
        <v>22</v>
      </c>
      <c r="F680" s="31" t="s">
        <v>23</v>
      </c>
      <c r="G680" s="50"/>
    </row>
    <row r="681" spans="1:7" ht="15.75" thickBot="1" x14ac:dyDescent="0.3">
      <c r="A681" s="33" t="s">
        <v>69</v>
      </c>
      <c r="B681" s="33" t="s">
        <v>70</v>
      </c>
      <c r="C681" s="33" t="s">
        <v>26</v>
      </c>
      <c r="D681" s="33" t="s">
        <v>52</v>
      </c>
      <c r="E681" s="33" t="s">
        <v>53</v>
      </c>
      <c r="F681" s="33"/>
      <c r="G681" s="50"/>
    </row>
    <row r="682" spans="1:7" ht="15.75" thickBot="1" x14ac:dyDescent="0.3">
      <c r="A682" s="34" t="s">
        <v>28</v>
      </c>
      <c r="B682" s="35" t="s">
        <v>29</v>
      </c>
      <c r="C682" s="51">
        <v>44967</v>
      </c>
      <c r="D682" s="34" t="s">
        <v>30</v>
      </c>
      <c r="E682" s="35" t="s">
        <v>31</v>
      </c>
      <c r="F682" s="33" t="s">
        <v>32</v>
      </c>
      <c r="G682" s="50"/>
    </row>
    <row r="683" spans="1:7" ht="15.75" thickBot="1" x14ac:dyDescent="0.3">
      <c r="A683" s="39"/>
      <c r="B683" s="35" t="s">
        <v>33</v>
      </c>
      <c r="C683" s="52">
        <f>IF(C682="","",IF(AND(MONTH(C682)&gt;=1,MONTH(C682)&lt;=3),1,IF(AND(MONTH(C682)&gt;=4,MONTH(C682)&lt;=6),2,IF(AND(MONTH(C682)&gt;=7,MONTH(C682)&lt;=9),3,4))))</f>
        <v>1</v>
      </c>
      <c r="D683" s="39"/>
      <c r="E683" s="35" t="s">
        <v>34</v>
      </c>
      <c r="F683" s="33" t="s">
        <v>35</v>
      </c>
      <c r="G683" s="50"/>
    </row>
    <row r="684" spans="1:7" ht="15.75" thickBot="1" x14ac:dyDescent="0.3">
      <c r="A684" s="39"/>
      <c r="B684" s="35" t="s">
        <v>36</v>
      </c>
      <c r="C684" s="51">
        <v>44972</v>
      </c>
      <c r="D684" s="39"/>
      <c r="E684" s="35" t="s">
        <v>37</v>
      </c>
      <c r="F684" s="33" t="s">
        <v>35</v>
      </c>
      <c r="G684" s="50"/>
    </row>
    <row r="685" spans="1:7" ht="15.75" thickBot="1" x14ac:dyDescent="0.3">
      <c r="A685" s="39"/>
      <c r="B685" s="35" t="s">
        <v>33</v>
      </c>
      <c r="C685" s="52">
        <f>IF(C684="","",IF(AND(MONTH(C684)&gt;=1,MONTH(C684)&lt;=3),1,IF(AND(MONTH(C684)&gt;=4,MONTH(C684)&lt;=6),2,IF(AND(MONTH(C684)&gt;=7,MONTH(C684)&lt;=9),3,4))))</f>
        <v>1</v>
      </c>
      <c r="D685" s="39"/>
      <c r="E685" s="35" t="s">
        <v>38</v>
      </c>
      <c r="F685" s="33" t="s">
        <v>35</v>
      </c>
      <c r="G685" s="50"/>
    </row>
    <row r="686" spans="1:7" ht="15.75" thickBot="1" x14ac:dyDescent="0.3">
      <c r="A686" s="50"/>
      <c r="B686" s="50"/>
      <c r="C686" s="50"/>
      <c r="D686" s="50"/>
      <c r="E686" s="50"/>
      <c r="F686" s="50"/>
      <c r="G686" s="50"/>
    </row>
    <row r="687" spans="1:7" ht="15.75" thickBot="1" x14ac:dyDescent="0.3">
      <c r="A687" s="41" t="s">
        <v>39</v>
      </c>
      <c r="B687" s="41" t="s">
        <v>40</v>
      </c>
      <c r="C687" s="41" t="s">
        <v>41</v>
      </c>
      <c r="D687" s="41" t="s">
        <v>42</v>
      </c>
      <c r="E687" s="41" t="s">
        <v>43</v>
      </c>
      <c r="F687" s="41" t="s">
        <v>44</v>
      </c>
      <c r="G687" s="50"/>
    </row>
    <row r="688" spans="1:7" ht="22.5" x14ac:dyDescent="0.25">
      <c r="A688" s="42">
        <v>24101806</v>
      </c>
      <c r="B688" s="43" t="str">
        <f ca="1">IFERROR(INDEX(UNSPSCDes,MATCH(INDIRECT(ADDRESS(ROW(),COLUMN()-1,4)),UNSPSCCode,0)),"")</f>
        <v>Escaleras para muelles</v>
      </c>
      <c r="C688" s="42" t="s">
        <v>46</v>
      </c>
      <c r="D688" s="42">
        <v>1</v>
      </c>
      <c r="E688" s="45">
        <v>6000</v>
      </c>
      <c r="F688" s="46">
        <f ca="1">INDIRECT(ADDRESS(ROW(),COLUMN()-2,4))*INDIRECT(ADDRESS(ROW(),COLUMN()-1,4))</f>
        <v>6000</v>
      </c>
      <c r="G688" s="50"/>
    </row>
    <row r="689" spans="1:7" x14ac:dyDescent="0.25">
      <c r="A689" s="50"/>
      <c r="B689" s="50"/>
      <c r="C689" s="50"/>
      <c r="D689" s="50"/>
      <c r="E689" s="54" t="s">
        <v>49</v>
      </c>
      <c r="F689" s="49">
        <f ca="1">SUM(Table334[MONTO TOTAL ESTIMADO])</f>
        <v>6000</v>
      </c>
      <c r="G689" s="50"/>
    </row>
    <row r="690" spans="1:7" ht="15.75" thickBot="1" x14ac:dyDescent="0.3">
      <c r="A690" s="50"/>
      <c r="B690" s="50"/>
      <c r="C690" s="50"/>
      <c r="D690" s="50"/>
      <c r="E690" s="55"/>
      <c r="F690" s="60"/>
      <c r="G690" s="57"/>
    </row>
    <row r="691" spans="1:7" ht="34.5" thickBot="1" x14ac:dyDescent="0.3">
      <c r="A691" s="31" t="s">
        <v>18</v>
      </c>
      <c r="B691" s="31" t="s">
        <v>19</v>
      </c>
      <c r="C691" s="31" t="s">
        <v>20</v>
      </c>
      <c r="D691" s="31" t="s">
        <v>21</v>
      </c>
      <c r="E691" s="31" t="s">
        <v>22</v>
      </c>
      <c r="F691" s="31" t="s">
        <v>23</v>
      </c>
      <c r="G691" s="50"/>
    </row>
    <row r="692" spans="1:7" ht="15.75" thickBot="1" x14ac:dyDescent="0.3">
      <c r="A692" s="33" t="s">
        <v>80</v>
      </c>
      <c r="B692" s="33" t="s">
        <v>25</v>
      </c>
      <c r="C692" s="33" t="s">
        <v>26</v>
      </c>
      <c r="D692" s="33" t="s">
        <v>52</v>
      </c>
      <c r="E692" s="33" t="s">
        <v>53</v>
      </c>
      <c r="F692" s="33"/>
      <c r="G692" s="50"/>
    </row>
    <row r="693" spans="1:7" ht="15.75" thickBot="1" x14ac:dyDescent="0.3">
      <c r="A693" s="34" t="s">
        <v>28</v>
      </c>
      <c r="B693" s="35" t="s">
        <v>29</v>
      </c>
      <c r="C693" s="51">
        <v>45033</v>
      </c>
      <c r="D693" s="34" t="s">
        <v>30</v>
      </c>
      <c r="E693" s="35" t="s">
        <v>31</v>
      </c>
      <c r="F693" s="33" t="s">
        <v>32</v>
      </c>
      <c r="G693" s="50"/>
    </row>
    <row r="694" spans="1:7" ht="15.75" thickBot="1" x14ac:dyDescent="0.3">
      <c r="A694" s="39"/>
      <c r="B694" s="35" t="s">
        <v>33</v>
      </c>
      <c r="C694" s="52">
        <f>IF(C693="","",IF(AND(MONTH(C693)&gt;=1,MONTH(C693)&lt;=3),1,IF(AND(MONTH(C693)&gt;=4,MONTH(C693)&lt;=6),2,IF(AND(MONTH(C693)&gt;=7,MONTH(C693)&lt;=9),3,4))))</f>
        <v>2</v>
      </c>
      <c r="D694" s="39"/>
      <c r="E694" s="35" t="s">
        <v>34</v>
      </c>
      <c r="F694" s="33" t="s">
        <v>35</v>
      </c>
      <c r="G694" s="50"/>
    </row>
    <row r="695" spans="1:7" ht="15.75" thickBot="1" x14ac:dyDescent="0.3">
      <c r="A695" s="39"/>
      <c r="B695" s="35" t="s">
        <v>36</v>
      </c>
      <c r="C695" s="51">
        <v>45040</v>
      </c>
      <c r="D695" s="39"/>
      <c r="E695" s="35" t="s">
        <v>37</v>
      </c>
      <c r="F695" s="33" t="s">
        <v>35</v>
      </c>
      <c r="G695" s="50"/>
    </row>
    <row r="696" spans="1:7" ht="15.75" thickBot="1" x14ac:dyDescent="0.3">
      <c r="A696" s="39"/>
      <c r="B696" s="35" t="s">
        <v>33</v>
      </c>
      <c r="C696" s="52">
        <f>IF(C695="","",IF(AND(MONTH(C695)&gt;=1,MONTH(C695)&lt;=3),1,IF(AND(MONTH(C695)&gt;=4,MONTH(C695)&lt;=6),2,IF(AND(MONTH(C695)&gt;=7,MONTH(C695)&lt;=9),3,4))))</f>
        <v>2</v>
      </c>
      <c r="D696" s="39"/>
      <c r="E696" s="35" t="s">
        <v>38</v>
      </c>
      <c r="F696" s="33" t="s">
        <v>35</v>
      </c>
      <c r="G696" s="50"/>
    </row>
    <row r="697" spans="1:7" ht="15.75" thickBot="1" x14ac:dyDescent="0.3">
      <c r="A697" s="50"/>
      <c r="B697" s="50"/>
      <c r="C697" s="50"/>
      <c r="D697" s="50"/>
      <c r="E697" s="50"/>
      <c r="F697" s="50"/>
      <c r="G697" s="50"/>
    </row>
    <row r="698" spans="1:7" ht="15.75" thickBot="1" x14ac:dyDescent="0.3">
      <c r="A698" s="41" t="s">
        <v>39</v>
      </c>
      <c r="B698" s="41" t="s">
        <v>40</v>
      </c>
      <c r="C698" s="41" t="s">
        <v>41</v>
      </c>
      <c r="D698" s="41" t="s">
        <v>42</v>
      </c>
      <c r="E698" s="41" t="s">
        <v>43</v>
      </c>
      <c r="F698" s="41" t="s">
        <v>44</v>
      </c>
      <c r="G698" s="50"/>
    </row>
    <row r="699" spans="1:7" ht="22.5" x14ac:dyDescent="0.25">
      <c r="A699" s="42">
        <v>24112504</v>
      </c>
      <c r="B699" s="43" t="str">
        <f ca="1">IFERROR(INDEX(UNSPSCDes,MATCH(INDIRECT(ADDRESS(ROW(),COLUMN()-1,4)),UNSPSCCode,0)),"")</f>
        <v>Cajas moldeadas</v>
      </c>
      <c r="C699" s="42" t="s">
        <v>46</v>
      </c>
      <c r="D699" s="42">
        <v>400</v>
      </c>
      <c r="E699" s="45">
        <v>95</v>
      </c>
      <c r="F699" s="46">
        <f ca="1">INDIRECT(ADDRESS(ROW(),COLUMN()-2,4))*INDIRECT(ADDRESS(ROW(),COLUMN()-1,4))</f>
        <v>38000</v>
      </c>
      <c r="G699" s="50"/>
    </row>
    <row r="700" spans="1:7" ht="33.75" x14ac:dyDescent="0.25">
      <c r="A700" s="42">
        <v>60121104</v>
      </c>
      <c r="B700" s="43" t="str">
        <f ca="1">IFERROR(INDEX(UNSPSCDes,MATCH(INDIRECT(ADDRESS(ROW(),COLUMN()-1,4)),UNSPSCCode,0)),"")</f>
        <v>Papel bond para para dibujo</v>
      </c>
      <c r="C700" s="42" t="s">
        <v>45</v>
      </c>
      <c r="D700" s="42">
        <v>10</v>
      </c>
      <c r="E700" s="45">
        <v>2237.2800000000002</v>
      </c>
      <c r="F700" s="46">
        <f ca="1">INDIRECT(ADDRESS(ROW(),COLUMN()-2,4))*INDIRECT(ADDRESS(ROW(),COLUMN()-1,4))</f>
        <v>22372.800000000003</v>
      </c>
      <c r="G700" s="50"/>
    </row>
    <row r="701" spans="1:7" ht="33.75" x14ac:dyDescent="0.25">
      <c r="A701" s="42">
        <v>60121104</v>
      </c>
      <c r="B701" s="43" t="str">
        <f ca="1">IFERROR(INDEX(UNSPSCDes,MATCH(INDIRECT(ADDRESS(ROW(),COLUMN()-1,4)),UNSPSCCode,0)),"")</f>
        <v>Papel bond para para dibujo</v>
      </c>
      <c r="C701" s="42" t="s">
        <v>45</v>
      </c>
      <c r="D701" s="42">
        <v>20</v>
      </c>
      <c r="E701" s="45">
        <v>700</v>
      </c>
      <c r="F701" s="46">
        <f ca="1">INDIRECT(ADDRESS(ROW(),COLUMN()-2,4))*INDIRECT(ADDRESS(ROW(),COLUMN()-1,4))</f>
        <v>14000</v>
      </c>
      <c r="G701" s="50"/>
    </row>
    <row r="702" spans="1:7" x14ac:dyDescent="0.25">
      <c r="A702" s="50"/>
      <c r="B702" s="50"/>
      <c r="C702" s="50"/>
      <c r="D702" s="50"/>
      <c r="E702" s="54" t="s">
        <v>49</v>
      </c>
      <c r="F702" s="49">
        <f ca="1">SUM(Table346[MONTO TOTAL ESTIMADO])</f>
        <v>74372.800000000003</v>
      </c>
      <c r="G702" s="50"/>
    </row>
    <row r="703" spans="1:7" ht="15.75" thickBot="1" x14ac:dyDescent="0.3">
      <c r="A703" s="50"/>
      <c r="B703" s="50"/>
      <c r="C703" s="50"/>
      <c r="D703" s="50"/>
      <c r="E703" s="55"/>
      <c r="F703" s="60"/>
      <c r="G703" s="57"/>
    </row>
    <row r="704" spans="1:7" ht="34.5" thickBot="1" x14ac:dyDescent="0.3">
      <c r="A704" s="31" t="s">
        <v>18</v>
      </c>
      <c r="B704" s="31" t="s">
        <v>19</v>
      </c>
      <c r="C704" s="31" t="s">
        <v>20</v>
      </c>
      <c r="D704" s="31" t="s">
        <v>21</v>
      </c>
      <c r="E704" s="31" t="s">
        <v>22</v>
      </c>
      <c r="F704" s="31" t="s">
        <v>23</v>
      </c>
      <c r="G704" s="50"/>
    </row>
    <row r="705" spans="1:7" ht="15.75" thickBot="1" x14ac:dyDescent="0.3">
      <c r="A705" s="33" t="s">
        <v>98</v>
      </c>
      <c r="B705" s="33" t="s">
        <v>99</v>
      </c>
      <c r="C705" s="33" t="s">
        <v>26</v>
      </c>
      <c r="D705" s="33" t="s">
        <v>52</v>
      </c>
      <c r="E705" s="33" t="s">
        <v>56</v>
      </c>
      <c r="F705" s="33"/>
      <c r="G705" s="50"/>
    </row>
    <row r="706" spans="1:7" ht="15.75" thickBot="1" x14ac:dyDescent="0.3">
      <c r="A706" s="34" t="s">
        <v>28</v>
      </c>
      <c r="B706" s="35" t="s">
        <v>29</v>
      </c>
      <c r="C706" s="51">
        <v>45022</v>
      </c>
      <c r="D706" s="34" t="s">
        <v>30</v>
      </c>
      <c r="E706" s="35" t="s">
        <v>31</v>
      </c>
      <c r="F706" s="33" t="s">
        <v>32</v>
      </c>
      <c r="G706" s="50"/>
    </row>
    <row r="707" spans="1:7" ht="15.75" thickBot="1" x14ac:dyDescent="0.3">
      <c r="A707" s="39"/>
      <c r="B707" s="35" t="s">
        <v>33</v>
      </c>
      <c r="C707" s="52">
        <f>IF(C706="","",IF(AND(MONTH(C706)&gt;=1,MONTH(C706)&lt;=3),1,IF(AND(MONTH(C706)&gt;=4,MONTH(C706)&lt;=6),2,IF(AND(MONTH(C706)&gt;=7,MONTH(C706)&lt;=9),3,4))))</f>
        <v>2</v>
      </c>
      <c r="D707" s="39"/>
      <c r="E707" s="35" t="s">
        <v>34</v>
      </c>
      <c r="F707" s="33" t="s">
        <v>35</v>
      </c>
      <c r="G707" s="50"/>
    </row>
    <row r="708" spans="1:7" ht="15.75" thickBot="1" x14ac:dyDescent="0.3">
      <c r="A708" s="39"/>
      <c r="B708" s="35" t="s">
        <v>36</v>
      </c>
      <c r="C708" s="51">
        <v>45028</v>
      </c>
      <c r="D708" s="39"/>
      <c r="E708" s="35" t="s">
        <v>37</v>
      </c>
      <c r="F708" s="33" t="s">
        <v>35</v>
      </c>
      <c r="G708" s="50"/>
    </row>
    <row r="709" spans="1:7" ht="15.75" thickBot="1" x14ac:dyDescent="0.3">
      <c r="A709" s="39"/>
      <c r="B709" s="35" t="s">
        <v>33</v>
      </c>
      <c r="C709" s="52">
        <f>IF(C708="","",IF(AND(MONTH(C708)&gt;=1,MONTH(C708)&lt;=3),1,IF(AND(MONTH(C708)&gt;=4,MONTH(C708)&lt;=6),2,IF(AND(MONTH(C708)&gt;=7,MONTH(C708)&lt;=9),3,4))))</f>
        <v>2</v>
      </c>
      <c r="D709" s="39"/>
      <c r="E709" s="35" t="s">
        <v>38</v>
      </c>
      <c r="F709" s="33" t="s">
        <v>35</v>
      </c>
      <c r="G709" s="50"/>
    </row>
    <row r="710" spans="1:7" ht="15.75" thickBot="1" x14ac:dyDescent="0.3">
      <c r="A710" s="50"/>
      <c r="B710" s="50"/>
      <c r="C710" s="50"/>
      <c r="D710" s="50"/>
      <c r="E710" s="50"/>
      <c r="F710" s="50"/>
      <c r="G710" s="50"/>
    </row>
    <row r="711" spans="1:7" ht="15.75" thickBot="1" x14ac:dyDescent="0.3">
      <c r="A711" s="41" t="s">
        <v>39</v>
      </c>
      <c r="B711" s="41" t="s">
        <v>40</v>
      </c>
      <c r="C711" s="41" t="s">
        <v>41</v>
      </c>
      <c r="D711" s="41" t="s">
        <v>42</v>
      </c>
      <c r="E711" s="41" t="s">
        <v>43</v>
      </c>
      <c r="F711" s="41" t="s">
        <v>44</v>
      </c>
      <c r="G711" s="50"/>
    </row>
    <row r="712" spans="1:7" ht="90" x14ac:dyDescent="0.25">
      <c r="A712" s="42">
        <v>42171917</v>
      </c>
      <c r="B712" s="43" t="str">
        <f ca="1">IFERROR(INDEX(UNSPSCDes,MATCH(INDIRECT(ADDRESS(ROW(),COLUMN()-1,4)),UNSPSCCode,0)),"")</f>
        <v>Estuches o bolsas o accesorios de primeros auxilios para servicios médicos de emergencia</v>
      </c>
      <c r="C712" s="42" t="s">
        <v>46</v>
      </c>
      <c r="D712" s="42">
        <v>15</v>
      </c>
      <c r="E712" s="45">
        <v>600</v>
      </c>
      <c r="F712" s="46">
        <f ca="1">INDIRECT(ADDRESS(ROW(),COLUMN()-2,4))*INDIRECT(ADDRESS(ROW(),COLUMN()-1,4))</f>
        <v>9000</v>
      </c>
      <c r="G712" s="50"/>
    </row>
    <row r="713" spans="1:7" ht="45" x14ac:dyDescent="0.25">
      <c r="A713" s="42">
        <v>42181501</v>
      </c>
      <c r="B713" s="43" t="str">
        <f ca="1">IFERROR(INDEX(UNSPSCDes,MATCH(INDIRECT(ADDRESS(ROW(),COLUMN()-1,4)),UNSPSCCode,0)),"")</f>
        <v>Depresores de lengua o cuchillos o baja lenguas</v>
      </c>
      <c r="C713" s="42" t="s">
        <v>45</v>
      </c>
      <c r="D713" s="42">
        <v>1</v>
      </c>
      <c r="E713" s="45">
        <v>527</v>
      </c>
      <c r="F713" s="46">
        <f ca="1">INDIRECT(ADDRESS(ROW(),COLUMN()-2,4))*INDIRECT(ADDRESS(ROW(),COLUMN()-1,4))</f>
        <v>527</v>
      </c>
      <c r="G713" s="50"/>
    </row>
    <row r="714" spans="1:7" ht="33.75" x14ac:dyDescent="0.25">
      <c r="A714" s="42">
        <v>42142603</v>
      </c>
      <c r="B714" s="43" t="str">
        <f ca="1">IFERROR(INDEX(UNSPSCDes,MATCH(INDIRECT(ADDRESS(ROW(),COLUMN()-1,4)),UNSPSCCode,0)),"")</f>
        <v>Jeringas de cartucho para uso médico</v>
      </c>
      <c r="C714" s="42" t="s">
        <v>45</v>
      </c>
      <c r="D714" s="42">
        <v>1</v>
      </c>
      <c r="E714" s="45">
        <v>401</v>
      </c>
      <c r="F714" s="46">
        <f ca="1">INDIRECT(ADDRESS(ROW(),COLUMN()-2,4))*INDIRECT(ADDRESS(ROW(),COLUMN()-1,4))</f>
        <v>401</v>
      </c>
      <c r="G714" s="50"/>
    </row>
    <row r="715" spans="1:7" ht="33.75" x14ac:dyDescent="0.25">
      <c r="A715" s="42">
        <v>42142603</v>
      </c>
      <c r="B715" s="43" t="str">
        <f ca="1">IFERROR(INDEX(UNSPSCDes,MATCH(INDIRECT(ADDRESS(ROW(),COLUMN()-1,4)),UNSPSCCode,0)),"")</f>
        <v>Jeringas de cartucho para uso médico</v>
      </c>
      <c r="C715" s="42" t="s">
        <v>45</v>
      </c>
      <c r="D715" s="42">
        <v>1</v>
      </c>
      <c r="E715" s="45">
        <v>282</v>
      </c>
      <c r="F715" s="46">
        <f ca="1">INDIRECT(ADDRESS(ROW(),COLUMN()-2,4))*INDIRECT(ADDRESS(ROW(),COLUMN()-1,4))</f>
        <v>282</v>
      </c>
      <c r="G715" s="50"/>
    </row>
    <row r="716" spans="1:7" ht="56.25" x14ac:dyDescent="0.25">
      <c r="A716" s="42">
        <v>42201841</v>
      </c>
      <c r="B716" s="43" t="str">
        <f ca="1">IFERROR(INDEX(UNSPSCDes,MATCH(INDIRECT(ADDRESS(ROW(),COLUMN()-1,4)),UNSPSCCode,0)),"")</f>
        <v>Papeles de rayos x diagnósticos para uso médico</v>
      </c>
      <c r="C716" s="42" t="s">
        <v>46</v>
      </c>
      <c r="D716" s="42">
        <v>1</v>
      </c>
      <c r="E716" s="45">
        <v>5000</v>
      </c>
      <c r="F716" s="46">
        <f ca="1">INDIRECT(ADDRESS(ROW(),COLUMN()-2,4))*INDIRECT(ADDRESS(ROW(),COLUMN()-1,4))</f>
        <v>5000</v>
      </c>
      <c r="G716" s="50"/>
    </row>
    <row r="717" spans="1:7" x14ac:dyDescent="0.25">
      <c r="A717" s="50"/>
      <c r="B717" s="50"/>
      <c r="C717" s="50"/>
      <c r="D717" s="50"/>
      <c r="E717" s="54" t="s">
        <v>49</v>
      </c>
      <c r="F717" s="49">
        <f ca="1">SUM(Table347[MONTO TOTAL ESTIMADO])</f>
        <v>15210</v>
      </c>
      <c r="G717" s="50"/>
    </row>
    <row r="718" spans="1:7" ht="15.75" thickBot="1" x14ac:dyDescent="0.3">
      <c r="A718" s="50"/>
      <c r="B718" s="50"/>
      <c r="C718" s="50"/>
      <c r="D718" s="50"/>
      <c r="E718" s="55"/>
      <c r="F718" s="60"/>
      <c r="G718" s="57"/>
    </row>
    <row r="719" spans="1:7" ht="34.5" thickBot="1" x14ac:dyDescent="0.3">
      <c r="A719" s="31" t="s">
        <v>18</v>
      </c>
      <c r="B719" s="31" t="s">
        <v>19</v>
      </c>
      <c r="C719" s="31" t="s">
        <v>20</v>
      </c>
      <c r="D719" s="31" t="s">
        <v>21</v>
      </c>
      <c r="E719" s="31" t="s">
        <v>22</v>
      </c>
      <c r="F719" s="31" t="s">
        <v>23</v>
      </c>
      <c r="G719" s="50"/>
    </row>
    <row r="720" spans="1:7" ht="15.75" thickBot="1" x14ac:dyDescent="0.3">
      <c r="A720" s="33" t="s">
        <v>69</v>
      </c>
      <c r="B720" s="33" t="s">
        <v>70</v>
      </c>
      <c r="C720" s="33" t="s">
        <v>26</v>
      </c>
      <c r="D720" s="33" t="s">
        <v>27</v>
      </c>
      <c r="E720" s="33" t="s">
        <v>53</v>
      </c>
      <c r="F720" s="33"/>
      <c r="G720" s="50"/>
    </row>
    <row r="721" spans="1:7" ht="15.75" thickBot="1" x14ac:dyDescent="0.3">
      <c r="A721" s="34" t="s">
        <v>28</v>
      </c>
      <c r="B721" s="35" t="s">
        <v>29</v>
      </c>
      <c r="C721" s="51">
        <v>45027</v>
      </c>
      <c r="D721" s="34" t="s">
        <v>30</v>
      </c>
      <c r="E721" s="35" t="s">
        <v>31</v>
      </c>
      <c r="F721" s="33" t="s">
        <v>32</v>
      </c>
      <c r="G721" s="50"/>
    </row>
    <row r="722" spans="1:7" ht="15.75" thickBot="1" x14ac:dyDescent="0.3">
      <c r="A722" s="39"/>
      <c r="B722" s="35" t="s">
        <v>33</v>
      </c>
      <c r="C722" s="52">
        <f>IF(C721="","",IF(AND(MONTH(C721)&gt;=1,MONTH(C721)&lt;=3),1,IF(AND(MONTH(C721)&gt;=4,MONTH(C721)&lt;=6),2,IF(AND(MONTH(C721)&gt;=7,MONTH(C721)&lt;=9),3,4))))</f>
        <v>2</v>
      </c>
      <c r="D722" s="39"/>
      <c r="E722" s="35" t="s">
        <v>34</v>
      </c>
      <c r="F722" s="33" t="s">
        <v>35</v>
      </c>
      <c r="G722" s="50"/>
    </row>
    <row r="723" spans="1:7" ht="15.75" thickBot="1" x14ac:dyDescent="0.3">
      <c r="A723" s="39"/>
      <c r="B723" s="35" t="s">
        <v>36</v>
      </c>
      <c r="C723" s="51">
        <v>45034</v>
      </c>
      <c r="D723" s="39"/>
      <c r="E723" s="35" t="s">
        <v>37</v>
      </c>
      <c r="F723" s="33" t="s">
        <v>35</v>
      </c>
      <c r="G723" s="50"/>
    </row>
    <row r="724" spans="1:7" ht="15.75" thickBot="1" x14ac:dyDescent="0.3">
      <c r="A724" s="39"/>
      <c r="B724" s="35" t="s">
        <v>33</v>
      </c>
      <c r="C724" s="52">
        <f>IF(C723="","",IF(AND(MONTH(C723)&gt;=1,MONTH(C723)&lt;=3),1,IF(AND(MONTH(C723)&gt;=4,MONTH(C723)&lt;=6),2,IF(AND(MONTH(C723)&gt;=7,MONTH(C723)&lt;=9),3,4))))</f>
        <v>2</v>
      </c>
      <c r="D724" s="39"/>
      <c r="E724" s="35" t="s">
        <v>38</v>
      </c>
      <c r="F724" s="33" t="s">
        <v>35</v>
      </c>
      <c r="G724" s="50"/>
    </row>
    <row r="725" spans="1:7" ht="15.75" thickBot="1" x14ac:dyDescent="0.3">
      <c r="A725" s="50"/>
      <c r="B725" s="50"/>
      <c r="C725" s="50"/>
      <c r="D725" s="50"/>
      <c r="E725" s="50"/>
      <c r="F725" s="50"/>
      <c r="G725" s="50"/>
    </row>
    <row r="726" spans="1:7" ht="15.75" thickBot="1" x14ac:dyDescent="0.3">
      <c r="A726" s="41" t="s">
        <v>39</v>
      </c>
      <c r="B726" s="41" t="s">
        <v>40</v>
      </c>
      <c r="C726" s="41" t="s">
        <v>41</v>
      </c>
      <c r="D726" s="41" t="s">
        <v>42</v>
      </c>
      <c r="E726" s="41" t="s">
        <v>43</v>
      </c>
      <c r="F726" s="41" t="s">
        <v>44</v>
      </c>
      <c r="G726" s="50"/>
    </row>
    <row r="727" spans="1:7" x14ac:dyDescent="0.25">
      <c r="A727" s="42">
        <v>39111521</v>
      </c>
      <c r="B727" s="43" t="str">
        <f t="shared" ref="B727:B738" ca="1" si="13">IFERROR(INDEX(UNSPSCDes,MATCH(INDIRECT(ADDRESS(ROW(),COLUMN()-1,4)),UNSPSCCode,0)),"")</f>
        <v>Plafones</v>
      </c>
      <c r="C727" s="42" t="s">
        <v>46</v>
      </c>
      <c r="D727" s="42">
        <v>7</v>
      </c>
      <c r="E727" s="45">
        <v>2700</v>
      </c>
      <c r="F727" s="46">
        <f t="shared" ref="F727:F738" ca="1" si="14">INDIRECT(ADDRESS(ROW(),COLUMN()-2,4))*INDIRECT(ADDRESS(ROW(),COLUMN()-1,4))</f>
        <v>18900</v>
      </c>
      <c r="G727" s="50"/>
    </row>
    <row r="728" spans="1:7" x14ac:dyDescent="0.25">
      <c r="A728" s="42">
        <v>31201605</v>
      </c>
      <c r="B728" s="43" t="str">
        <f t="shared" ca="1" si="13"/>
        <v>Masillas</v>
      </c>
      <c r="C728" s="42" t="s">
        <v>46</v>
      </c>
      <c r="D728" s="42">
        <v>1</v>
      </c>
      <c r="E728" s="45">
        <v>1250</v>
      </c>
      <c r="F728" s="46">
        <f t="shared" ca="1" si="14"/>
        <v>1250</v>
      </c>
      <c r="G728" s="50"/>
    </row>
    <row r="729" spans="1:7" ht="22.5" x14ac:dyDescent="0.25">
      <c r="A729" s="42">
        <v>31211505</v>
      </c>
      <c r="B729" s="43" t="str">
        <f t="shared" ca="1" si="13"/>
        <v>Pinturas de aceite</v>
      </c>
      <c r="C729" s="42" t="s">
        <v>46</v>
      </c>
      <c r="D729" s="42">
        <v>4</v>
      </c>
      <c r="E729" s="45">
        <v>11600</v>
      </c>
      <c r="F729" s="46">
        <f t="shared" ca="1" si="14"/>
        <v>46400</v>
      </c>
      <c r="G729" s="50"/>
    </row>
    <row r="730" spans="1:7" ht="22.5" x14ac:dyDescent="0.25">
      <c r="A730" s="42">
        <v>31211505</v>
      </c>
      <c r="B730" s="43" t="str">
        <f t="shared" ca="1" si="13"/>
        <v>Pinturas de aceite</v>
      </c>
      <c r="C730" s="42" t="s">
        <v>46</v>
      </c>
      <c r="D730" s="42">
        <v>6</v>
      </c>
      <c r="E730" s="45">
        <v>11600</v>
      </c>
      <c r="F730" s="46">
        <f t="shared" ca="1" si="14"/>
        <v>69600</v>
      </c>
      <c r="G730" s="50"/>
    </row>
    <row r="731" spans="1:7" ht="22.5" x14ac:dyDescent="0.25">
      <c r="A731" s="42">
        <v>31211505</v>
      </c>
      <c r="B731" s="43" t="str">
        <f t="shared" ca="1" si="13"/>
        <v>Pinturas de aceite</v>
      </c>
      <c r="C731" s="42" t="s">
        <v>46</v>
      </c>
      <c r="D731" s="42">
        <v>10</v>
      </c>
      <c r="E731" s="45">
        <v>7600</v>
      </c>
      <c r="F731" s="46">
        <f t="shared" ca="1" si="14"/>
        <v>76000</v>
      </c>
      <c r="G731" s="50"/>
    </row>
    <row r="732" spans="1:7" x14ac:dyDescent="0.25">
      <c r="A732" s="42">
        <v>40141702</v>
      </c>
      <c r="B732" s="43" t="str">
        <f t="shared" ca="1" si="13"/>
        <v>Grifos</v>
      </c>
      <c r="C732" s="42" t="s">
        <v>46</v>
      </c>
      <c r="D732" s="42">
        <v>5</v>
      </c>
      <c r="E732" s="45">
        <v>31950</v>
      </c>
      <c r="F732" s="46">
        <f t="shared" ca="1" si="14"/>
        <v>159750</v>
      </c>
      <c r="G732" s="50"/>
    </row>
    <row r="733" spans="1:7" x14ac:dyDescent="0.25">
      <c r="A733" s="42">
        <v>39121549</v>
      </c>
      <c r="B733" s="43" t="str">
        <f t="shared" ca="1" si="13"/>
        <v>Termostato</v>
      </c>
      <c r="C733" s="42" t="s">
        <v>46</v>
      </c>
      <c r="D733" s="42">
        <v>5</v>
      </c>
      <c r="E733" s="45">
        <v>1300</v>
      </c>
      <c r="F733" s="46">
        <f t="shared" ca="1" si="14"/>
        <v>6500</v>
      </c>
      <c r="G733" s="50"/>
    </row>
    <row r="734" spans="1:7" ht="33.75" x14ac:dyDescent="0.25">
      <c r="A734" s="42">
        <v>72101901</v>
      </c>
      <c r="B734" s="43" t="str">
        <f t="shared" ca="1" si="13"/>
        <v>Diseño o decoración de interiores</v>
      </c>
      <c r="C734" s="42" t="s">
        <v>46</v>
      </c>
      <c r="D734" s="42">
        <v>1</v>
      </c>
      <c r="E734" s="45">
        <v>45000</v>
      </c>
      <c r="F734" s="46">
        <f t="shared" ca="1" si="14"/>
        <v>45000</v>
      </c>
      <c r="G734" s="50"/>
    </row>
    <row r="735" spans="1:7" x14ac:dyDescent="0.25">
      <c r="A735" s="42">
        <v>31162402</v>
      </c>
      <c r="B735" s="43" t="str">
        <f t="shared" ca="1" si="13"/>
        <v>Cerraduras</v>
      </c>
      <c r="C735" s="42" t="s">
        <v>46</v>
      </c>
      <c r="D735" s="42">
        <v>6</v>
      </c>
      <c r="E735" s="45">
        <v>4000</v>
      </c>
      <c r="F735" s="46">
        <f t="shared" ca="1" si="14"/>
        <v>24000</v>
      </c>
      <c r="G735" s="50"/>
    </row>
    <row r="736" spans="1:7" x14ac:dyDescent="0.25">
      <c r="A736" s="42">
        <v>31162402</v>
      </c>
      <c r="B736" s="43" t="str">
        <f t="shared" ca="1" si="13"/>
        <v>Cerraduras</v>
      </c>
      <c r="C736" s="42" t="s">
        <v>46</v>
      </c>
      <c r="D736" s="42">
        <v>6</v>
      </c>
      <c r="E736" s="45">
        <v>2000</v>
      </c>
      <c r="F736" s="46">
        <f t="shared" ca="1" si="14"/>
        <v>12000</v>
      </c>
      <c r="G736" s="50"/>
    </row>
    <row r="737" spans="1:7" x14ac:dyDescent="0.25">
      <c r="A737" s="42">
        <v>26121609</v>
      </c>
      <c r="B737" s="43" t="str">
        <f t="shared" ca="1" si="13"/>
        <v>Cable de redes</v>
      </c>
      <c r="C737" s="42" t="s">
        <v>46</v>
      </c>
      <c r="D737" s="42">
        <v>2</v>
      </c>
      <c r="E737" s="45">
        <v>16000</v>
      </c>
      <c r="F737" s="46">
        <f t="shared" ca="1" si="14"/>
        <v>32000</v>
      </c>
      <c r="G737" s="50"/>
    </row>
    <row r="738" spans="1:7" x14ac:dyDescent="0.25">
      <c r="A738" s="42">
        <v>26121609</v>
      </c>
      <c r="B738" s="43" t="str">
        <f t="shared" ca="1" si="13"/>
        <v>Cable de redes</v>
      </c>
      <c r="C738" s="42" t="s">
        <v>46</v>
      </c>
      <c r="D738" s="42">
        <v>2</v>
      </c>
      <c r="E738" s="45">
        <v>2000</v>
      </c>
      <c r="F738" s="46">
        <f t="shared" ca="1" si="14"/>
        <v>4000</v>
      </c>
      <c r="G738" s="50"/>
    </row>
    <row r="739" spans="1:7" x14ac:dyDescent="0.25">
      <c r="A739" s="50"/>
      <c r="B739" s="50"/>
      <c r="C739" s="50"/>
      <c r="D739" s="50"/>
      <c r="E739" s="54" t="s">
        <v>49</v>
      </c>
      <c r="F739" s="49">
        <f ca="1">SUM(Table348[MONTO TOTAL ESTIMADO])</f>
        <v>495400</v>
      </c>
      <c r="G739" s="50"/>
    </row>
    <row r="740" spans="1:7" ht="15.75" thickBot="1" x14ac:dyDescent="0.3">
      <c r="A740" s="50"/>
      <c r="B740" s="50"/>
      <c r="C740" s="50"/>
      <c r="D740" s="50"/>
      <c r="E740" s="55"/>
      <c r="F740" s="60"/>
      <c r="G740" s="57"/>
    </row>
    <row r="741" spans="1:7" ht="34.5" thickBot="1" x14ac:dyDescent="0.3">
      <c r="A741" s="31" t="s">
        <v>18</v>
      </c>
      <c r="B741" s="31" t="s">
        <v>19</v>
      </c>
      <c r="C741" s="31" t="s">
        <v>20</v>
      </c>
      <c r="D741" s="31" t="s">
        <v>21</v>
      </c>
      <c r="E741" s="31" t="s">
        <v>22</v>
      </c>
      <c r="F741" s="31" t="s">
        <v>23</v>
      </c>
      <c r="G741" s="50"/>
    </row>
    <row r="742" spans="1:7" ht="15.75" thickBot="1" x14ac:dyDescent="0.3">
      <c r="A742" s="33" t="s">
        <v>83</v>
      </c>
      <c r="B742" s="33" t="s">
        <v>84</v>
      </c>
      <c r="C742" s="33" t="s">
        <v>74</v>
      </c>
      <c r="D742" s="33" t="s">
        <v>27</v>
      </c>
      <c r="E742" s="33" t="s">
        <v>53</v>
      </c>
      <c r="F742" s="33"/>
      <c r="G742" s="50"/>
    </row>
    <row r="743" spans="1:7" ht="15.75" thickBot="1" x14ac:dyDescent="0.3">
      <c r="A743" s="34" t="s">
        <v>28</v>
      </c>
      <c r="B743" s="35" t="s">
        <v>29</v>
      </c>
      <c r="C743" s="51">
        <v>45035</v>
      </c>
      <c r="D743" s="34" t="s">
        <v>30</v>
      </c>
      <c r="E743" s="35" t="s">
        <v>31</v>
      </c>
      <c r="F743" s="33" t="s">
        <v>32</v>
      </c>
      <c r="G743" s="50"/>
    </row>
    <row r="744" spans="1:7" ht="15.75" thickBot="1" x14ac:dyDescent="0.3">
      <c r="A744" s="39"/>
      <c r="B744" s="35" t="s">
        <v>33</v>
      </c>
      <c r="C744" s="52">
        <f>IF(C743="","",IF(AND(MONTH(C743)&gt;=1,MONTH(C743)&lt;=3),1,IF(AND(MONTH(C743)&gt;=4,MONTH(C743)&lt;=6),2,IF(AND(MONTH(C743)&gt;=7,MONTH(C743)&lt;=9),3,4))))</f>
        <v>2</v>
      </c>
      <c r="D744" s="39"/>
      <c r="E744" s="35" t="s">
        <v>34</v>
      </c>
      <c r="F744" s="33" t="s">
        <v>35</v>
      </c>
      <c r="G744" s="50"/>
    </row>
    <row r="745" spans="1:7" ht="15.75" thickBot="1" x14ac:dyDescent="0.3">
      <c r="A745" s="39"/>
      <c r="B745" s="35" t="s">
        <v>36</v>
      </c>
      <c r="C745" s="51">
        <v>45041</v>
      </c>
      <c r="D745" s="39"/>
      <c r="E745" s="35" t="s">
        <v>37</v>
      </c>
      <c r="F745" s="33" t="s">
        <v>35</v>
      </c>
      <c r="G745" s="50"/>
    </row>
    <row r="746" spans="1:7" ht="15.75" thickBot="1" x14ac:dyDescent="0.3">
      <c r="A746" s="39"/>
      <c r="B746" s="35" t="s">
        <v>33</v>
      </c>
      <c r="C746" s="52">
        <f>IF(C745="","",IF(AND(MONTH(C745)&gt;=1,MONTH(C745)&lt;=3),1,IF(AND(MONTH(C745)&gt;=4,MONTH(C745)&lt;=6),2,IF(AND(MONTH(C745)&gt;=7,MONTH(C745)&lt;=9),3,4))))</f>
        <v>2</v>
      </c>
      <c r="D746" s="39"/>
      <c r="E746" s="35" t="s">
        <v>38</v>
      </c>
      <c r="F746" s="33" t="s">
        <v>35</v>
      </c>
      <c r="G746" s="50"/>
    </row>
    <row r="747" spans="1:7" ht="15.75" thickBot="1" x14ac:dyDescent="0.3">
      <c r="A747" s="50"/>
      <c r="B747" s="50"/>
      <c r="C747" s="50"/>
      <c r="D747" s="50"/>
      <c r="E747" s="50"/>
      <c r="F747" s="50"/>
      <c r="G747" s="50"/>
    </row>
    <row r="748" spans="1:7" ht="15.75" thickBot="1" x14ac:dyDescent="0.3">
      <c r="A748" s="41" t="s">
        <v>39</v>
      </c>
      <c r="B748" s="41" t="s">
        <v>40</v>
      </c>
      <c r="C748" s="41" t="s">
        <v>41</v>
      </c>
      <c r="D748" s="41" t="s">
        <v>42</v>
      </c>
      <c r="E748" s="41" t="s">
        <v>43</v>
      </c>
      <c r="F748" s="41" t="s">
        <v>44</v>
      </c>
      <c r="G748" s="50"/>
    </row>
    <row r="749" spans="1:7" ht="22.5" x14ac:dyDescent="0.25">
      <c r="A749" s="42">
        <v>82121503</v>
      </c>
      <c r="B749" s="43" t="str">
        <f ca="1">IFERROR(INDEX(UNSPSCDes,MATCH(INDIRECT(ADDRESS(ROW(),COLUMN()-1,4)),UNSPSCCode,0)),"")</f>
        <v>Impresión digital</v>
      </c>
      <c r="C749" s="42" t="s">
        <v>46</v>
      </c>
      <c r="D749" s="42">
        <v>500</v>
      </c>
      <c r="E749" s="45">
        <v>1000</v>
      </c>
      <c r="F749" s="46">
        <f ca="1">INDIRECT(ADDRESS(ROW(),COLUMN()-2,4))*INDIRECT(ADDRESS(ROW(),COLUMN()-1,4))</f>
        <v>500000</v>
      </c>
      <c r="G749" s="50"/>
    </row>
    <row r="750" spans="1:7" ht="45" x14ac:dyDescent="0.25">
      <c r="A750" s="42">
        <v>73151905</v>
      </c>
      <c r="B750" s="43" t="str">
        <f ca="1">IFERROR(INDEX(UNSPSCDes,MATCH(INDIRECT(ADDRESS(ROW(),COLUMN()-1,4)),UNSPSCCode,0)),"")</f>
        <v>Servicios de impresión industrial digital</v>
      </c>
      <c r="C750" s="42" t="s">
        <v>46</v>
      </c>
      <c r="D750" s="42">
        <v>500</v>
      </c>
      <c r="E750" s="45">
        <v>100</v>
      </c>
      <c r="F750" s="46">
        <f ca="1">INDIRECT(ADDRESS(ROW(),COLUMN()-2,4))*INDIRECT(ADDRESS(ROW(),COLUMN()-1,4))</f>
        <v>50000</v>
      </c>
      <c r="G750" s="50"/>
    </row>
    <row r="751" spans="1:7" ht="33.75" x14ac:dyDescent="0.25">
      <c r="A751" s="42">
        <v>80121704</v>
      </c>
      <c r="B751" s="43" t="str">
        <f ca="1">IFERROR(INDEX(UNSPSCDes,MATCH(INDIRECT(ADDRESS(ROW(),COLUMN()-1,4)),UNSPSCCode,0)),"")</f>
        <v>Servicios legales sobre contratos</v>
      </c>
      <c r="C751" s="42" t="s">
        <v>46</v>
      </c>
      <c r="D751" s="42">
        <v>20</v>
      </c>
      <c r="E751" s="45">
        <v>5000</v>
      </c>
      <c r="F751" s="46">
        <f ca="1">INDIRECT(ADDRESS(ROW(),COLUMN()-2,4))*INDIRECT(ADDRESS(ROW(),COLUMN()-1,4))</f>
        <v>100000</v>
      </c>
      <c r="G751" s="50"/>
    </row>
    <row r="752" spans="1:7" x14ac:dyDescent="0.25">
      <c r="A752" s="50"/>
      <c r="B752" s="50"/>
      <c r="C752" s="50"/>
      <c r="D752" s="50"/>
      <c r="E752" s="54" t="s">
        <v>49</v>
      </c>
      <c r="F752" s="49">
        <f ca="1">SUM(Table349[MONTO TOTAL ESTIMADO])</f>
        <v>650000</v>
      </c>
      <c r="G752" s="50"/>
    </row>
    <row r="753" spans="1:7" ht="15.75" thickBot="1" x14ac:dyDescent="0.3">
      <c r="A753" s="50"/>
      <c r="B753" s="50"/>
      <c r="C753" s="50"/>
      <c r="D753" s="50"/>
      <c r="E753" s="55"/>
      <c r="F753" s="60"/>
      <c r="G753" s="57"/>
    </row>
    <row r="754" spans="1:7" ht="34.5" thickBot="1" x14ac:dyDescent="0.3">
      <c r="A754" s="31" t="s">
        <v>18</v>
      </c>
      <c r="B754" s="31" t="s">
        <v>19</v>
      </c>
      <c r="C754" s="31" t="s">
        <v>20</v>
      </c>
      <c r="D754" s="31" t="s">
        <v>21</v>
      </c>
      <c r="E754" s="31" t="s">
        <v>22</v>
      </c>
      <c r="F754" s="31" t="s">
        <v>23</v>
      </c>
      <c r="G754" s="50"/>
    </row>
    <row r="755" spans="1:7" ht="15.75" thickBot="1" x14ac:dyDescent="0.3">
      <c r="A755" s="33" t="s">
        <v>113</v>
      </c>
      <c r="B755" s="33" t="s">
        <v>114</v>
      </c>
      <c r="C755" s="61" t="s">
        <v>74</v>
      </c>
      <c r="D755" s="33" t="s">
        <v>27</v>
      </c>
      <c r="E755" s="33" t="s">
        <v>56</v>
      </c>
      <c r="F755" s="33"/>
      <c r="G755" s="50"/>
    </row>
    <row r="756" spans="1:7" ht="15.75" thickBot="1" x14ac:dyDescent="0.3">
      <c r="A756" s="34" t="s">
        <v>28</v>
      </c>
      <c r="B756" s="35" t="s">
        <v>29</v>
      </c>
      <c r="C756" s="51">
        <v>45033</v>
      </c>
      <c r="D756" s="34" t="s">
        <v>30</v>
      </c>
      <c r="E756" s="35" t="s">
        <v>31</v>
      </c>
      <c r="F756" s="33" t="s">
        <v>32</v>
      </c>
      <c r="G756" s="50"/>
    </row>
    <row r="757" spans="1:7" ht="15.75" thickBot="1" x14ac:dyDescent="0.3">
      <c r="A757" s="39"/>
      <c r="B757" s="35" t="s">
        <v>33</v>
      </c>
      <c r="C757" s="52">
        <f>IF(C756="","",IF(AND(MONTH(C756)&gt;=1,MONTH(C756)&lt;=3),1,IF(AND(MONTH(C756)&gt;=4,MONTH(C756)&lt;=6),2,IF(AND(MONTH(C756)&gt;=7,MONTH(C756)&lt;=9),3,4))))</f>
        <v>2</v>
      </c>
      <c r="D757" s="39"/>
      <c r="E757" s="35" t="s">
        <v>34</v>
      </c>
      <c r="F757" s="33" t="s">
        <v>35</v>
      </c>
      <c r="G757" s="50"/>
    </row>
    <row r="758" spans="1:7" ht="15.75" thickBot="1" x14ac:dyDescent="0.3">
      <c r="A758" s="39"/>
      <c r="B758" s="35" t="s">
        <v>36</v>
      </c>
      <c r="C758" s="51">
        <v>45043</v>
      </c>
      <c r="D758" s="39"/>
      <c r="E758" s="35" t="s">
        <v>37</v>
      </c>
      <c r="F758" s="33" t="s">
        <v>35</v>
      </c>
      <c r="G758" s="50"/>
    </row>
    <row r="759" spans="1:7" ht="15.75" thickBot="1" x14ac:dyDescent="0.3">
      <c r="A759" s="39"/>
      <c r="B759" s="35" t="s">
        <v>33</v>
      </c>
      <c r="C759" s="52">
        <f>IF(C758="","",IF(AND(MONTH(C758)&gt;=1,MONTH(C758)&lt;=3),1,IF(AND(MONTH(C758)&gt;=4,MONTH(C758)&lt;=6),2,IF(AND(MONTH(C758)&gt;=7,MONTH(C758)&lt;=9),3,4))))</f>
        <v>2</v>
      </c>
      <c r="D759" s="39"/>
      <c r="E759" s="35" t="s">
        <v>38</v>
      </c>
      <c r="F759" s="33" t="s">
        <v>35</v>
      </c>
      <c r="G759" s="50"/>
    </row>
    <row r="760" spans="1:7" ht="15.75" thickBot="1" x14ac:dyDescent="0.3">
      <c r="A760" s="50"/>
      <c r="B760" s="50"/>
      <c r="C760" s="50"/>
      <c r="D760" s="50"/>
      <c r="E760" s="50"/>
      <c r="F760" s="50"/>
      <c r="G760" s="50"/>
    </row>
    <row r="761" spans="1:7" ht="15.75" thickBot="1" x14ac:dyDescent="0.3">
      <c r="A761" s="41" t="s">
        <v>39</v>
      </c>
      <c r="B761" s="41" t="s">
        <v>40</v>
      </c>
      <c r="C761" s="41" t="s">
        <v>41</v>
      </c>
      <c r="D761" s="41" t="s">
        <v>42</v>
      </c>
      <c r="E761" s="41" t="s">
        <v>43</v>
      </c>
      <c r="F761" s="41" t="s">
        <v>44</v>
      </c>
      <c r="G761" s="50"/>
    </row>
    <row r="762" spans="1:7" ht="33.75" x14ac:dyDescent="0.25">
      <c r="A762" s="42">
        <v>82101801</v>
      </c>
      <c r="B762" s="43" t="str">
        <f ca="1">IFERROR(INDEX(UNSPSCDes,MATCH(INDIRECT(ADDRESS(ROW(),COLUMN()-1,4)),UNSPSCCode,0)),"")</f>
        <v>Servicios de campañas publicitarias</v>
      </c>
      <c r="C762" s="42" t="s">
        <v>46</v>
      </c>
      <c r="D762" s="42">
        <v>1</v>
      </c>
      <c r="E762" s="45">
        <v>1152915</v>
      </c>
      <c r="F762" s="46">
        <f ca="1">INDIRECT(ADDRESS(ROW(),COLUMN()-2,4))*INDIRECT(ADDRESS(ROW(),COLUMN()-1,4))</f>
        <v>1152915</v>
      </c>
      <c r="G762" s="50"/>
    </row>
    <row r="763" spans="1:7" x14ac:dyDescent="0.25">
      <c r="A763" s="50"/>
      <c r="B763" s="50"/>
      <c r="C763" s="50"/>
      <c r="D763" s="50"/>
      <c r="E763" s="54" t="s">
        <v>49</v>
      </c>
      <c r="F763" s="49">
        <f ca="1">SUM(Table350[MONTO TOTAL ESTIMADO])</f>
        <v>1152915</v>
      </c>
      <c r="G763" s="50"/>
    </row>
    <row r="764" spans="1:7" ht="15.75" thickBot="1" x14ac:dyDescent="0.3">
      <c r="A764" s="50"/>
      <c r="B764" s="50"/>
      <c r="C764" s="50"/>
      <c r="D764" s="50"/>
      <c r="E764" s="55"/>
      <c r="F764" s="60"/>
      <c r="G764" s="57"/>
    </row>
    <row r="765" spans="1:7" ht="34.5" thickBot="1" x14ac:dyDescent="0.3">
      <c r="A765" s="31" t="s">
        <v>18</v>
      </c>
      <c r="B765" s="31" t="s">
        <v>19</v>
      </c>
      <c r="C765" s="31" t="s">
        <v>20</v>
      </c>
      <c r="D765" s="31" t="s">
        <v>21</v>
      </c>
      <c r="E765" s="31" t="s">
        <v>22</v>
      </c>
      <c r="F765" s="31" t="s">
        <v>23</v>
      </c>
      <c r="G765" s="50"/>
    </row>
    <row r="766" spans="1:7" ht="15.75" thickBot="1" x14ac:dyDescent="0.3">
      <c r="A766" s="33" t="s">
        <v>115</v>
      </c>
      <c r="B766" s="33" t="s">
        <v>116</v>
      </c>
      <c r="C766" s="62" t="s">
        <v>74</v>
      </c>
      <c r="D766" s="33" t="s">
        <v>52</v>
      </c>
      <c r="E766" s="33" t="s">
        <v>56</v>
      </c>
      <c r="F766" s="33"/>
      <c r="G766" s="50"/>
    </row>
    <row r="767" spans="1:7" ht="15.75" thickBot="1" x14ac:dyDescent="0.3">
      <c r="A767" s="34" t="s">
        <v>28</v>
      </c>
      <c r="B767" s="35" t="s">
        <v>29</v>
      </c>
      <c r="C767" s="51">
        <v>45019</v>
      </c>
      <c r="D767" s="34" t="s">
        <v>30</v>
      </c>
      <c r="E767" s="35" t="s">
        <v>31</v>
      </c>
      <c r="F767" s="33" t="s">
        <v>32</v>
      </c>
      <c r="G767" s="50"/>
    </row>
    <row r="768" spans="1:7" ht="15.75" thickBot="1" x14ac:dyDescent="0.3">
      <c r="A768" s="39"/>
      <c r="B768" s="35" t="s">
        <v>33</v>
      </c>
      <c r="C768" s="52">
        <f>IF(C767="","",IF(AND(MONTH(C767)&gt;=1,MONTH(C767)&lt;=3),1,IF(AND(MONTH(C767)&gt;=4,MONTH(C767)&lt;=6),2,IF(AND(MONTH(C767)&gt;=7,MONTH(C767)&lt;=9),3,4))))</f>
        <v>2</v>
      </c>
      <c r="D768" s="39"/>
      <c r="E768" s="35" t="s">
        <v>34</v>
      </c>
      <c r="F768" s="33" t="s">
        <v>35</v>
      </c>
      <c r="G768" s="50"/>
    </row>
    <row r="769" spans="1:7" ht="15.75" thickBot="1" x14ac:dyDescent="0.3">
      <c r="A769" s="39"/>
      <c r="B769" s="35" t="s">
        <v>36</v>
      </c>
      <c r="C769" s="51">
        <v>45028</v>
      </c>
      <c r="D769" s="39"/>
      <c r="E769" s="35" t="s">
        <v>37</v>
      </c>
      <c r="F769" s="33" t="s">
        <v>35</v>
      </c>
      <c r="G769" s="50"/>
    </row>
    <row r="770" spans="1:7" ht="15.75" thickBot="1" x14ac:dyDescent="0.3">
      <c r="A770" s="39"/>
      <c r="B770" s="35" t="s">
        <v>33</v>
      </c>
      <c r="C770" s="52">
        <f>IF(C769="","",IF(AND(MONTH(C769)&gt;=1,MONTH(C769)&lt;=3),1,IF(AND(MONTH(C769)&gt;=4,MONTH(C769)&lt;=6),2,IF(AND(MONTH(C769)&gt;=7,MONTH(C769)&lt;=9),3,4))))</f>
        <v>2</v>
      </c>
      <c r="D770" s="39"/>
      <c r="E770" s="35" t="s">
        <v>38</v>
      </c>
      <c r="F770" s="33" t="s">
        <v>35</v>
      </c>
      <c r="G770" s="50"/>
    </row>
    <row r="771" spans="1:7" ht="15.75" thickBot="1" x14ac:dyDescent="0.3">
      <c r="A771" s="50"/>
      <c r="B771" s="50"/>
      <c r="C771" s="50"/>
      <c r="D771" s="50"/>
      <c r="E771" s="50"/>
      <c r="F771" s="50"/>
      <c r="G771" s="50"/>
    </row>
    <row r="772" spans="1:7" ht="15.75" thickBot="1" x14ac:dyDescent="0.3">
      <c r="A772" s="41" t="s">
        <v>39</v>
      </c>
      <c r="B772" s="41" t="s">
        <v>40</v>
      </c>
      <c r="C772" s="41" t="s">
        <v>41</v>
      </c>
      <c r="D772" s="41" t="s">
        <v>42</v>
      </c>
      <c r="E772" s="41" t="s">
        <v>43</v>
      </c>
      <c r="F772" s="41" t="s">
        <v>44</v>
      </c>
      <c r="G772" s="50"/>
    </row>
    <row r="773" spans="1:7" x14ac:dyDescent="0.25">
      <c r="A773" s="42">
        <v>90111701</v>
      </c>
      <c r="B773" s="43" t="str">
        <f ca="1">IFERROR(INDEX(UNSPSCDes,MATCH(INDIRECT(ADDRESS(ROW(),COLUMN()-1,4)),UNSPSCCode,0)),"")</f>
        <v>Campin</v>
      </c>
      <c r="C773" s="42" t="s">
        <v>46</v>
      </c>
      <c r="D773" s="42">
        <v>11</v>
      </c>
      <c r="E773" s="45">
        <v>775</v>
      </c>
      <c r="F773" s="46">
        <f ca="1">INDIRECT(ADDRESS(ROW(),COLUMN()-2,4))*INDIRECT(ADDRESS(ROW(),COLUMN()-1,4))</f>
        <v>8525</v>
      </c>
      <c r="G773" s="50"/>
    </row>
    <row r="774" spans="1:7" x14ac:dyDescent="0.25">
      <c r="A774" s="50"/>
      <c r="B774" s="50"/>
      <c r="C774" s="50"/>
      <c r="D774" s="50"/>
      <c r="E774" s="54" t="s">
        <v>49</v>
      </c>
      <c r="F774" s="49">
        <f ca="1">SUM(Table351[MONTO TOTAL ESTIMADO])</f>
        <v>8525</v>
      </c>
      <c r="G774" s="50"/>
    </row>
    <row r="775" spans="1:7" ht="15.75" thickBot="1" x14ac:dyDescent="0.3">
      <c r="A775" s="50"/>
      <c r="B775" s="50"/>
      <c r="C775" s="50"/>
      <c r="D775" s="50"/>
      <c r="E775" s="55"/>
      <c r="F775" s="60"/>
      <c r="G775" s="57"/>
    </row>
    <row r="776" spans="1:7" ht="34.5" thickBot="1" x14ac:dyDescent="0.3">
      <c r="A776" s="31" t="s">
        <v>18</v>
      </c>
      <c r="B776" s="31" t="s">
        <v>19</v>
      </c>
      <c r="C776" s="31" t="s">
        <v>20</v>
      </c>
      <c r="D776" s="31" t="s">
        <v>21</v>
      </c>
      <c r="E776" s="31" t="s">
        <v>22</v>
      </c>
      <c r="F776" s="31" t="s">
        <v>23</v>
      </c>
      <c r="G776" s="50"/>
    </row>
    <row r="777" spans="1:7" ht="15.75" thickBot="1" x14ac:dyDescent="0.3">
      <c r="A777" s="33" t="s">
        <v>96</v>
      </c>
      <c r="B777" s="33" t="s">
        <v>97</v>
      </c>
      <c r="C777" s="33" t="s">
        <v>26</v>
      </c>
      <c r="D777" s="33" t="s">
        <v>52</v>
      </c>
      <c r="E777" s="33" t="s">
        <v>53</v>
      </c>
      <c r="F777" s="33"/>
      <c r="G777" s="50"/>
    </row>
    <row r="778" spans="1:7" ht="15.75" thickBot="1" x14ac:dyDescent="0.3">
      <c r="A778" s="34" t="s">
        <v>28</v>
      </c>
      <c r="B778" s="35" t="s">
        <v>29</v>
      </c>
      <c r="C778" s="51">
        <v>45036</v>
      </c>
      <c r="D778" s="34" t="s">
        <v>30</v>
      </c>
      <c r="E778" s="35" t="s">
        <v>31</v>
      </c>
      <c r="F778" s="33" t="s">
        <v>32</v>
      </c>
      <c r="G778" s="50"/>
    </row>
    <row r="779" spans="1:7" ht="15.75" thickBot="1" x14ac:dyDescent="0.3">
      <c r="A779" s="39"/>
      <c r="B779" s="35" t="s">
        <v>33</v>
      </c>
      <c r="C779" s="52">
        <f>IF(C778="","",IF(AND(MONTH(C778)&gt;=1,MONTH(C778)&lt;=3),1,IF(AND(MONTH(C778)&gt;=4,MONTH(C778)&lt;=6),2,IF(AND(MONTH(C778)&gt;=7,MONTH(C778)&lt;=9),3,4))))</f>
        <v>2</v>
      </c>
      <c r="D779" s="39"/>
      <c r="E779" s="35" t="s">
        <v>34</v>
      </c>
      <c r="F779" s="33" t="s">
        <v>35</v>
      </c>
      <c r="G779" s="50"/>
    </row>
    <row r="780" spans="1:7" ht="15.75" thickBot="1" x14ac:dyDescent="0.3">
      <c r="A780" s="39"/>
      <c r="B780" s="35" t="s">
        <v>36</v>
      </c>
      <c r="C780" s="51">
        <v>45044</v>
      </c>
      <c r="D780" s="39"/>
      <c r="E780" s="35" t="s">
        <v>37</v>
      </c>
      <c r="F780" s="33" t="s">
        <v>35</v>
      </c>
      <c r="G780" s="50"/>
    </row>
    <row r="781" spans="1:7" ht="15.75" thickBot="1" x14ac:dyDescent="0.3">
      <c r="A781" s="39"/>
      <c r="B781" s="35" t="s">
        <v>33</v>
      </c>
      <c r="C781" s="52">
        <f>IF(C780="","",IF(AND(MONTH(C780)&gt;=1,MONTH(C780)&lt;=3),1,IF(AND(MONTH(C780)&gt;=4,MONTH(C780)&lt;=6),2,IF(AND(MONTH(C780)&gt;=7,MONTH(C780)&lt;=9),3,4))))</f>
        <v>2</v>
      </c>
      <c r="D781" s="39"/>
      <c r="E781" s="35" t="s">
        <v>38</v>
      </c>
      <c r="F781" s="33" t="s">
        <v>35</v>
      </c>
      <c r="G781" s="50"/>
    </row>
    <row r="782" spans="1:7" ht="15.75" thickBot="1" x14ac:dyDescent="0.3">
      <c r="A782" s="50"/>
      <c r="B782" s="50"/>
      <c r="C782" s="50"/>
      <c r="D782" s="50"/>
      <c r="E782" s="50"/>
      <c r="F782" s="50"/>
      <c r="G782" s="50"/>
    </row>
    <row r="783" spans="1:7" ht="15.75" thickBot="1" x14ac:dyDescent="0.3">
      <c r="A783" s="41" t="s">
        <v>39</v>
      </c>
      <c r="B783" s="41" t="s">
        <v>40</v>
      </c>
      <c r="C783" s="41" t="s">
        <v>41</v>
      </c>
      <c r="D783" s="41" t="s">
        <v>42</v>
      </c>
      <c r="E783" s="41" t="s">
        <v>43</v>
      </c>
      <c r="F783" s="41" t="s">
        <v>44</v>
      </c>
      <c r="G783" s="50"/>
    </row>
    <row r="784" spans="1:7" x14ac:dyDescent="0.25">
      <c r="A784" s="42">
        <v>10161603</v>
      </c>
      <c r="B784" s="43" t="str">
        <f ca="1">IFERROR(INDEX(UNSPSCDes,MATCH(INDIRECT(ADDRESS(ROW(),COLUMN()-1,4)),UNSPSCCode,0)),"")</f>
        <v>Orquídeas</v>
      </c>
      <c r="C784" s="42" t="s">
        <v>46</v>
      </c>
      <c r="D784" s="42">
        <v>160</v>
      </c>
      <c r="E784" s="45">
        <v>1000</v>
      </c>
      <c r="F784" s="46">
        <f ca="1">INDIRECT(ADDRESS(ROW(),COLUMN()-2,4))*INDIRECT(ADDRESS(ROW(),COLUMN()-1,4))</f>
        <v>160000</v>
      </c>
      <c r="G784" s="50"/>
    </row>
    <row r="785" spans="1:7" x14ac:dyDescent="0.25">
      <c r="A785" s="50"/>
      <c r="B785" s="50"/>
      <c r="C785" s="50"/>
      <c r="D785" s="50"/>
      <c r="E785" s="54" t="s">
        <v>49</v>
      </c>
      <c r="F785" s="49">
        <f ca="1">SUM(Table352[MONTO TOTAL ESTIMADO])</f>
        <v>160000</v>
      </c>
      <c r="G785" s="50"/>
    </row>
    <row r="786" spans="1:7" ht="15.75" thickBot="1" x14ac:dyDescent="0.3">
      <c r="A786" s="50"/>
      <c r="B786" s="50"/>
      <c r="C786" s="50"/>
      <c r="D786" s="50"/>
      <c r="E786" s="55"/>
      <c r="F786" s="60"/>
      <c r="G786" s="57"/>
    </row>
    <row r="787" spans="1:7" ht="34.5" thickBot="1" x14ac:dyDescent="0.3">
      <c r="A787" s="31" t="s">
        <v>18</v>
      </c>
      <c r="B787" s="31" t="s">
        <v>19</v>
      </c>
      <c r="C787" s="31" t="s">
        <v>20</v>
      </c>
      <c r="D787" s="31" t="s">
        <v>21</v>
      </c>
      <c r="E787" s="31" t="s">
        <v>22</v>
      </c>
      <c r="F787" s="31" t="s">
        <v>23</v>
      </c>
      <c r="G787" s="50"/>
    </row>
    <row r="788" spans="1:7" ht="15.75" thickBot="1" x14ac:dyDescent="0.3">
      <c r="A788" s="33" t="s">
        <v>50</v>
      </c>
      <c r="B788" s="33" t="s">
        <v>95</v>
      </c>
      <c r="C788" s="33" t="s">
        <v>26</v>
      </c>
      <c r="D788" s="33" t="s">
        <v>52</v>
      </c>
      <c r="E788" s="33" t="s">
        <v>62</v>
      </c>
      <c r="F788" s="33"/>
      <c r="G788" s="50"/>
    </row>
    <row r="789" spans="1:7" ht="15.75" thickBot="1" x14ac:dyDescent="0.3">
      <c r="A789" s="34" t="s">
        <v>28</v>
      </c>
      <c r="B789" s="35" t="s">
        <v>29</v>
      </c>
      <c r="C789" s="51">
        <v>45026</v>
      </c>
      <c r="D789" s="34" t="s">
        <v>30</v>
      </c>
      <c r="E789" s="35" t="s">
        <v>31</v>
      </c>
      <c r="F789" s="33" t="s">
        <v>32</v>
      </c>
      <c r="G789" s="50"/>
    </row>
    <row r="790" spans="1:7" ht="15.75" thickBot="1" x14ac:dyDescent="0.3">
      <c r="A790" s="39"/>
      <c r="B790" s="35" t="s">
        <v>33</v>
      </c>
      <c r="C790" s="52">
        <f>IF(C789="","",IF(AND(MONTH(C789)&gt;=1,MONTH(C789)&lt;=3),1,IF(AND(MONTH(C789)&gt;=4,MONTH(C789)&lt;=6),2,IF(AND(MONTH(C789)&gt;=7,MONTH(C789)&lt;=9),3,4))))</f>
        <v>2</v>
      </c>
      <c r="D790" s="39"/>
      <c r="E790" s="35" t="s">
        <v>34</v>
      </c>
      <c r="F790" s="33" t="s">
        <v>35</v>
      </c>
      <c r="G790" s="50"/>
    </row>
    <row r="791" spans="1:7" ht="15.75" thickBot="1" x14ac:dyDescent="0.3">
      <c r="A791" s="39"/>
      <c r="B791" s="35" t="s">
        <v>36</v>
      </c>
      <c r="C791" s="51">
        <v>45029</v>
      </c>
      <c r="D791" s="39"/>
      <c r="E791" s="35" t="s">
        <v>37</v>
      </c>
      <c r="F791" s="33" t="s">
        <v>35</v>
      </c>
      <c r="G791" s="50"/>
    </row>
    <row r="792" spans="1:7" ht="15.75" thickBot="1" x14ac:dyDescent="0.3">
      <c r="A792" s="39"/>
      <c r="B792" s="35" t="s">
        <v>33</v>
      </c>
      <c r="C792" s="52">
        <f>IF(C791="","",IF(AND(MONTH(C791)&gt;=1,MONTH(C791)&lt;=3),1,IF(AND(MONTH(C791)&gt;=4,MONTH(C791)&lt;=6),2,IF(AND(MONTH(C791)&gt;=7,MONTH(C791)&lt;=9),3,4))))</f>
        <v>2</v>
      </c>
      <c r="D792" s="39"/>
      <c r="E792" s="35" t="s">
        <v>38</v>
      </c>
      <c r="F792" s="33" t="s">
        <v>35</v>
      </c>
      <c r="G792" s="50"/>
    </row>
    <row r="793" spans="1:7" ht="15.75" thickBot="1" x14ac:dyDescent="0.3">
      <c r="A793" s="50"/>
      <c r="B793" s="50"/>
      <c r="C793" s="50"/>
      <c r="D793" s="50"/>
      <c r="E793" s="50"/>
      <c r="F793" s="50"/>
      <c r="G793" s="50"/>
    </row>
    <row r="794" spans="1:7" ht="15.75" thickBot="1" x14ac:dyDescent="0.3">
      <c r="A794" s="41" t="s">
        <v>39</v>
      </c>
      <c r="B794" s="41" t="s">
        <v>40</v>
      </c>
      <c r="C794" s="41" t="s">
        <v>41</v>
      </c>
      <c r="D794" s="41" t="s">
        <v>42</v>
      </c>
      <c r="E794" s="41" t="s">
        <v>43</v>
      </c>
      <c r="F794" s="41" t="s">
        <v>44</v>
      </c>
      <c r="G794" s="50"/>
    </row>
    <row r="795" spans="1:7" x14ac:dyDescent="0.25">
      <c r="A795" s="42">
        <v>50201711</v>
      </c>
      <c r="B795" s="43" t="str">
        <f ca="1">IFERROR(INDEX(UNSPSCDes,MATCH(INDIRECT(ADDRESS(ROW(),COLUMN()-1,4)),UNSPSCCode,0)),"")</f>
        <v>Té instantáneo</v>
      </c>
      <c r="C795" s="42" t="s">
        <v>46</v>
      </c>
      <c r="D795" s="42">
        <v>2</v>
      </c>
      <c r="E795" s="45">
        <v>300</v>
      </c>
      <c r="F795" s="46">
        <f ca="1">INDIRECT(ADDRESS(ROW(),COLUMN()-2,4))*INDIRECT(ADDRESS(ROW(),COLUMN()-1,4))</f>
        <v>600</v>
      </c>
      <c r="G795" s="50"/>
    </row>
    <row r="796" spans="1:7" x14ac:dyDescent="0.25">
      <c r="A796" s="50"/>
      <c r="B796" s="50"/>
      <c r="C796" s="50"/>
      <c r="D796" s="50"/>
      <c r="E796" s="54" t="s">
        <v>49</v>
      </c>
      <c r="F796" s="49">
        <f ca="1">SUM(Table353[MONTO TOTAL ESTIMADO])</f>
        <v>600</v>
      </c>
      <c r="G796" s="50"/>
    </row>
    <row r="797" spans="1:7" ht="15.75" thickBot="1" x14ac:dyDescent="0.3">
      <c r="A797" s="50"/>
      <c r="B797" s="50"/>
      <c r="C797" s="50"/>
      <c r="D797" s="50"/>
      <c r="E797" s="55"/>
      <c r="F797" s="60"/>
      <c r="G797" s="57"/>
    </row>
    <row r="798" spans="1:7" ht="34.5" thickBot="1" x14ac:dyDescent="0.3">
      <c r="A798" s="31" t="s">
        <v>18</v>
      </c>
      <c r="B798" s="31" t="s">
        <v>19</v>
      </c>
      <c r="C798" s="31" t="s">
        <v>20</v>
      </c>
      <c r="D798" s="31" t="s">
        <v>21</v>
      </c>
      <c r="E798" s="31" t="s">
        <v>22</v>
      </c>
      <c r="F798" s="31" t="s">
        <v>23</v>
      </c>
      <c r="G798" s="50"/>
    </row>
    <row r="799" spans="1:7" ht="15.75" thickBot="1" x14ac:dyDescent="0.3">
      <c r="A799" s="33" t="s">
        <v>117</v>
      </c>
      <c r="B799" s="33" t="s">
        <v>118</v>
      </c>
      <c r="C799" s="33" t="s">
        <v>26</v>
      </c>
      <c r="D799" s="33" t="s">
        <v>52</v>
      </c>
      <c r="E799" s="33" t="s">
        <v>56</v>
      </c>
      <c r="F799" s="33"/>
      <c r="G799" s="50"/>
    </row>
    <row r="800" spans="1:7" ht="15.75" thickBot="1" x14ac:dyDescent="0.3">
      <c r="A800" s="34" t="s">
        <v>28</v>
      </c>
      <c r="B800" s="35" t="s">
        <v>29</v>
      </c>
      <c r="C800" s="51">
        <v>45019</v>
      </c>
      <c r="D800" s="34" t="s">
        <v>30</v>
      </c>
      <c r="E800" s="35" t="s">
        <v>31</v>
      </c>
      <c r="F800" s="33" t="s">
        <v>32</v>
      </c>
      <c r="G800" s="50"/>
    </row>
    <row r="801" spans="1:7" ht="15.75" thickBot="1" x14ac:dyDescent="0.3">
      <c r="A801" s="39"/>
      <c r="B801" s="35" t="s">
        <v>33</v>
      </c>
      <c r="C801" s="52">
        <f>IF(C800="","",IF(AND(MONTH(C800)&gt;=1,MONTH(C800)&lt;=3),1,IF(AND(MONTH(C800)&gt;=4,MONTH(C800)&lt;=6),2,IF(AND(MONTH(C800)&gt;=7,MONTH(C800)&lt;=9),3,4))))</f>
        <v>2</v>
      </c>
      <c r="D801" s="39"/>
      <c r="E801" s="35" t="s">
        <v>34</v>
      </c>
      <c r="F801" s="33" t="s">
        <v>35</v>
      </c>
      <c r="G801" s="50"/>
    </row>
    <row r="802" spans="1:7" ht="15.75" thickBot="1" x14ac:dyDescent="0.3">
      <c r="A802" s="39"/>
      <c r="B802" s="35" t="s">
        <v>36</v>
      </c>
      <c r="C802" s="51">
        <v>45026</v>
      </c>
      <c r="D802" s="39"/>
      <c r="E802" s="35" t="s">
        <v>37</v>
      </c>
      <c r="F802" s="33" t="s">
        <v>35</v>
      </c>
      <c r="G802" s="50"/>
    </row>
    <row r="803" spans="1:7" ht="15.75" thickBot="1" x14ac:dyDescent="0.3">
      <c r="A803" s="39"/>
      <c r="B803" s="35" t="s">
        <v>33</v>
      </c>
      <c r="C803" s="52">
        <f>IF(C802="","",IF(AND(MONTH(C802)&gt;=1,MONTH(C802)&lt;=3),1,IF(AND(MONTH(C802)&gt;=4,MONTH(C802)&lt;=6),2,IF(AND(MONTH(C802)&gt;=7,MONTH(C802)&lt;=9),3,4))))</f>
        <v>2</v>
      </c>
      <c r="D803" s="39"/>
      <c r="E803" s="35" t="s">
        <v>38</v>
      </c>
      <c r="F803" s="33" t="s">
        <v>35</v>
      </c>
      <c r="G803" s="50"/>
    </row>
    <row r="804" spans="1:7" ht="15.75" thickBot="1" x14ac:dyDescent="0.3">
      <c r="A804" s="50"/>
      <c r="B804" s="50"/>
      <c r="C804" s="50"/>
      <c r="D804" s="50"/>
      <c r="E804" s="50"/>
      <c r="F804" s="50"/>
      <c r="G804" s="50"/>
    </row>
    <row r="805" spans="1:7" ht="15.75" thickBot="1" x14ac:dyDescent="0.3">
      <c r="A805" s="41" t="s">
        <v>39</v>
      </c>
      <c r="B805" s="41" t="s">
        <v>40</v>
      </c>
      <c r="C805" s="41" t="s">
        <v>41</v>
      </c>
      <c r="D805" s="41" t="s">
        <v>42</v>
      </c>
      <c r="E805" s="41" t="s">
        <v>43</v>
      </c>
      <c r="F805" s="41" t="s">
        <v>44</v>
      </c>
      <c r="G805" s="50"/>
    </row>
    <row r="806" spans="1:7" ht="33.75" x14ac:dyDescent="0.25">
      <c r="A806" s="42">
        <v>53131613</v>
      </c>
      <c r="B806" s="43" t="str">
        <f ca="1">IFERROR(INDEX(UNSPSCDes,MATCH(INDIRECT(ADDRESS(ROW(),COLUMN()-1,4)),UNSPSCCode,0)),"")</f>
        <v>Productos para el cuidado de la piel</v>
      </c>
      <c r="C806" s="42" t="s">
        <v>46</v>
      </c>
      <c r="D806" s="42">
        <v>25</v>
      </c>
      <c r="E806" s="45">
        <v>3800</v>
      </c>
      <c r="F806" s="46">
        <f ca="1">INDIRECT(ADDRESS(ROW(),COLUMN()-2,4))*INDIRECT(ADDRESS(ROW(),COLUMN()-1,4))</f>
        <v>95000</v>
      </c>
      <c r="G806" s="50"/>
    </row>
    <row r="807" spans="1:7" x14ac:dyDescent="0.25">
      <c r="A807" s="50"/>
      <c r="B807" s="50"/>
      <c r="C807" s="50"/>
      <c r="D807" s="50"/>
      <c r="E807" s="54" t="s">
        <v>49</v>
      </c>
      <c r="F807" s="49">
        <f ca="1">SUM(Table354[MONTO TOTAL ESTIMADO])</f>
        <v>95000</v>
      </c>
      <c r="G807" s="50"/>
    </row>
    <row r="808" spans="1:7" ht="15.75" thickBot="1" x14ac:dyDescent="0.3">
      <c r="A808" s="50"/>
      <c r="B808" s="50"/>
      <c r="C808" s="50"/>
      <c r="D808" s="50"/>
      <c r="E808" s="55"/>
      <c r="F808" s="60"/>
      <c r="G808" s="57"/>
    </row>
    <row r="809" spans="1:7" ht="34.5" thickBot="1" x14ac:dyDescent="0.3">
      <c r="A809" s="31" t="s">
        <v>18</v>
      </c>
      <c r="B809" s="31" t="s">
        <v>19</v>
      </c>
      <c r="C809" s="31" t="s">
        <v>20</v>
      </c>
      <c r="D809" s="31" t="s">
        <v>21</v>
      </c>
      <c r="E809" s="31" t="s">
        <v>22</v>
      </c>
      <c r="F809" s="31" t="s">
        <v>23</v>
      </c>
      <c r="G809" s="50"/>
    </row>
    <row r="810" spans="1:7" ht="15.75" thickBot="1" x14ac:dyDescent="0.3">
      <c r="A810" s="33" t="s">
        <v>119</v>
      </c>
      <c r="B810" s="33" t="s">
        <v>120</v>
      </c>
      <c r="C810" s="33" t="s">
        <v>26</v>
      </c>
      <c r="D810" s="33" t="s">
        <v>27</v>
      </c>
      <c r="E810" s="33" t="s">
        <v>56</v>
      </c>
      <c r="F810" s="33"/>
      <c r="G810" s="50"/>
    </row>
    <row r="811" spans="1:7" ht="15.75" thickBot="1" x14ac:dyDescent="0.3">
      <c r="A811" s="34" t="s">
        <v>28</v>
      </c>
      <c r="B811" s="35" t="s">
        <v>29</v>
      </c>
      <c r="C811" s="51">
        <v>45035</v>
      </c>
      <c r="D811" s="34" t="s">
        <v>30</v>
      </c>
      <c r="E811" s="35" t="s">
        <v>31</v>
      </c>
      <c r="F811" s="33" t="s">
        <v>32</v>
      </c>
      <c r="G811" s="50"/>
    </row>
    <row r="812" spans="1:7" ht="15.75" thickBot="1" x14ac:dyDescent="0.3">
      <c r="A812" s="39"/>
      <c r="B812" s="35" t="s">
        <v>33</v>
      </c>
      <c r="C812" s="52">
        <f>IF(C811="","",IF(AND(MONTH(C811)&gt;=1,MONTH(C811)&lt;=3),1,IF(AND(MONTH(C811)&gt;=4,MONTH(C811)&lt;=6),2,IF(AND(MONTH(C811)&gt;=7,MONTH(C811)&lt;=9),3,4))))</f>
        <v>2</v>
      </c>
      <c r="D812" s="39"/>
      <c r="E812" s="35" t="s">
        <v>34</v>
      </c>
      <c r="F812" s="33" t="s">
        <v>35</v>
      </c>
      <c r="G812" s="50"/>
    </row>
    <row r="813" spans="1:7" ht="15.75" thickBot="1" x14ac:dyDescent="0.3">
      <c r="A813" s="39"/>
      <c r="B813" s="35" t="s">
        <v>36</v>
      </c>
      <c r="C813" s="51">
        <v>45042</v>
      </c>
      <c r="D813" s="39"/>
      <c r="E813" s="35" t="s">
        <v>37</v>
      </c>
      <c r="F813" s="33" t="s">
        <v>35</v>
      </c>
      <c r="G813" s="50"/>
    </row>
    <row r="814" spans="1:7" ht="15.75" thickBot="1" x14ac:dyDescent="0.3">
      <c r="A814" s="39"/>
      <c r="B814" s="35" t="s">
        <v>33</v>
      </c>
      <c r="C814" s="52">
        <f>IF(C813="","",IF(AND(MONTH(C813)&gt;=1,MONTH(C813)&lt;=3),1,IF(AND(MONTH(C813)&gt;=4,MONTH(C813)&lt;=6),2,IF(AND(MONTH(C813)&gt;=7,MONTH(C813)&lt;=9),3,4))))</f>
        <v>2</v>
      </c>
      <c r="D814" s="39"/>
      <c r="E814" s="35" t="s">
        <v>38</v>
      </c>
      <c r="F814" s="33" t="s">
        <v>35</v>
      </c>
      <c r="G814" s="50"/>
    </row>
    <row r="815" spans="1:7" ht="15.75" thickBot="1" x14ac:dyDescent="0.3">
      <c r="A815" s="50"/>
      <c r="B815" s="50"/>
      <c r="C815" s="50"/>
      <c r="D815" s="50"/>
      <c r="E815" s="50"/>
      <c r="F815" s="50"/>
      <c r="G815" s="50"/>
    </row>
    <row r="816" spans="1:7" ht="15.75" thickBot="1" x14ac:dyDescent="0.3">
      <c r="A816" s="41" t="s">
        <v>39</v>
      </c>
      <c r="B816" s="41" t="s">
        <v>40</v>
      </c>
      <c r="C816" s="41" t="s">
        <v>41</v>
      </c>
      <c r="D816" s="41" t="s">
        <v>42</v>
      </c>
      <c r="E816" s="41" t="s">
        <v>43</v>
      </c>
      <c r="F816" s="41" t="s">
        <v>44</v>
      </c>
      <c r="G816" s="50"/>
    </row>
    <row r="817" spans="1:7" ht="33.75" x14ac:dyDescent="0.25">
      <c r="A817" s="42">
        <v>40101701</v>
      </c>
      <c r="B817" s="43" t="str">
        <f ca="1">IFERROR(INDEX(UNSPSCDes,MATCH(INDIRECT(ADDRESS(ROW(),COLUMN()-1,4)),UNSPSCCode,0)),"")</f>
        <v>Aires acondicionados</v>
      </c>
      <c r="C817" s="42" t="s">
        <v>46</v>
      </c>
      <c r="D817" s="42">
        <v>1</v>
      </c>
      <c r="E817" s="45">
        <v>205000</v>
      </c>
      <c r="F817" s="46">
        <f ca="1">INDIRECT(ADDRESS(ROW(),COLUMN()-2,4))*INDIRECT(ADDRESS(ROW(),COLUMN()-1,4))</f>
        <v>205000</v>
      </c>
      <c r="G817" s="50"/>
    </row>
    <row r="818" spans="1:7" ht="33.75" x14ac:dyDescent="0.25">
      <c r="A818" s="42">
        <v>40101701</v>
      </c>
      <c r="B818" s="43" t="str">
        <f ca="1">IFERROR(INDEX(UNSPSCDes,MATCH(INDIRECT(ADDRESS(ROW(),COLUMN()-1,4)),UNSPSCCode,0)),"")</f>
        <v>Aires acondicionados</v>
      </c>
      <c r="C818" s="42" t="s">
        <v>46</v>
      </c>
      <c r="D818" s="42">
        <v>1</v>
      </c>
      <c r="E818" s="45">
        <v>236000</v>
      </c>
      <c r="F818" s="46">
        <f ca="1">INDIRECT(ADDRESS(ROW(),COLUMN()-2,4))*INDIRECT(ADDRESS(ROW(),COLUMN()-1,4))</f>
        <v>236000</v>
      </c>
      <c r="G818" s="50"/>
    </row>
    <row r="819" spans="1:7" x14ac:dyDescent="0.25">
      <c r="A819" s="50"/>
      <c r="B819" s="50"/>
      <c r="C819" s="50"/>
      <c r="D819" s="50"/>
      <c r="E819" s="54" t="s">
        <v>49</v>
      </c>
      <c r="F819" s="49">
        <f ca="1">SUM(Table355[MONTO TOTAL ESTIMADO])</f>
        <v>441000</v>
      </c>
      <c r="G819" s="50"/>
    </row>
    <row r="820" spans="1:7" ht="15.75" thickBot="1" x14ac:dyDescent="0.3">
      <c r="A820" s="50"/>
      <c r="B820" s="50"/>
      <c r="C820" s="50"/>
      <c r="D820" s="50"/>
      <c r="E820" s="55"/>
      <c r="F820" s="60"/>
      <c r="G820" s="57"/>
    </row>
    <row r="821" spans="1:7" ht="34.5" thickBot="1" x14ac:dyDescent="0.3">
      <c r="A821" s="31" t="s">
        <v>18</v>
      </c>
      <c r="B821" s="31" t="s">
        <v>19</v>
      </c>
      <c r="C821" s="31" t="s">
        <v>20</v>
      </c>
      <c r="D821" s="31" t="s">
        <v>21</v>
      </c>
      <c r="E821" s="31" t="s">
        <v>22</v>
      </c>
      <c r="F821" s="31" t="s">
        <v>23</v>
      </c>
      <c r="G821" s="50"/>
    </row>
    <row r="822" spans="1:7" ht="15.75" thickBot="1" x14ac:dyDescent="0.3">
      <c r="A822" s="33" t="s">
        <v>101</v>
      </c>
      <c r="B822" s="33" t="s">
        <v>102</v>
      </c>
      <c r="C822" s="33" t="s">
        <v>26</v>
      </c>
      <c r="D822" s="33" t="s">
        <v>52</v>
      </c>
      <c r="E822" s="33" t="s">
        <v>56</v>
      </c>
      <c r="F822" s="33"/>
      <c r="G822" s="50"/>
    </row>
    <row r="823" spans="1:7" ht="15.75" thickBot="1" x14ac:dyDescent="0.3">
      <c r="A823" s="34" t="s">
        <v>28</v>
      </c>
      <c r="B823" s="35" t="s">
        <v>29</v>
      </c>
      <c r="C823" s="51">
        <v>45029</v>
      </c>
      <c r="D823" s="34" t="s">
        <v>30</v>
      </c>
      <c r="E823" s="35" t="s">
        <v>31</v>
      </c>
      <c r="F823" s="33" t="s">
        <v>32</v>
      </c>
      <c r="G823" s="50"/>
    </row>
    <row r="824" spans="1:7" ht="15.75" thickBot="1" x14ac:dyDescent="0.3">
      <c r="A824" s="39"/>
      <c r="B824" s="35" t="s">
        <v>33</v>
      </c>
      <c r="C824" s="52">
        <f>IF(C823="","",IF(AND(MONTH(C823)&gt;=1,MONTH(C823)&lt;=3),1,IF(AND(MONTH(C823)&gt;=4,MONTH(C823)&lt;=6),2,IF(AND(MONTH(C823)&gt;=7,MONTH(C823)&lt;=9),3,4))))</f>
        <v>2</v>
      </c>
      <c r="D824" s="39"/>
      <c r="E824" s="35" t="s">
        <v>34</v>
      </c>
      <c r="F824" s="33" t="s">
        <v>35</v>
      </c>
      <c r="G824" s="50"/>
    </row>
    <row r="825" spans="1:7" ht="15.75" thickBot="1" x14ac:dyDescent="0.3">
      <c r="A825" s="39"/>
      <c r="B825" s="35" t="s">
        <v>36</v>
      </c>
      <c r="C825" s="51">
        <v>45035</v>
      </c>
      <c r="D825" s="39"/>
      <c r="E825" s="35" t="s">
        <v>37</v>
      </c>
      <c r="F825" s="33" t="s">
        <v>35</v>
      </c>
      <c r="G825" s="50"/>
    </row>
    <row r="826" spans="1:7" ht="15.75" thickBot="1" x14ac:dyDescent="0.3">
      <c r="A826" s="39"/>
      <c r="B826" s="35" t="s">
        <v>33</v>
      </c>
      <c r="C826" s="52">
        <f>IF(C825="","",IF(AND(MONTH(C825)&gt;=1,MONTH(C825)&lt;=3),1,IF(AND(MONTH(C825)&gt;=4,MONTH(C825)&lt;=6),2,IF(AND(MONTH(C825)&gt;=7,MONTH(C825)&lt;=9),3,4))))</f>
        <v>2</v>
      </c>
      <c r="D826" s="39"/>
      <c r="E826" s="35" t="s">
        <v>38</v>
      </c>
      <c r="F826" s="33" t="s">
        <v>35</v>
      </c>
      <c r="G826" s="50"/>
    </row>
    <row r="827" spans="1:7" ht="15.75" thickBot="1" x14ac:dyDescent="0.3">
      <c r="A827" s="50"/>
      <c r="B827" s="50"/>
      <c r="C827" s="50"/>
      <c r="D827" s="50"/>
      <c r="E827" s="50"/>
      <c r="F827" s="50"/>
      <c r="G827" s="50"/>
    </row>
    <row r="828" spans="1:7" ht="15.75" thickBot="1" x14ac:dyDescent="0.3">
      <c r="A828" s="41" t="s">
        <v>39</v>
      </c>
      <c r="B828" s="41" t="s">
        <v>40</v>
      </c>
      <c r="C828" s="41" t="s">
        <v>41</v>
      </c>
      <c r="D828" s="41" t="s">
        <v>42</v>
      </c>
      <c r="E828" s="41" t="s">
        <v>43</v>
      </c>
      <c r="F828" s="41" t="s">
        <v>44</v>
      </c>
      <c r="G828" s="50"/>
    </row>
    <row r="829" spans="1:7" ht="45" x14ac:dyDescent="0.25">
      <c r="A829" s="42">
        <v>48101711</v>
      </c>
      <c r="B829" s="43" t="str">
        <f ca="1">IFERROR(INDEX(UNSPSCDes,MATCH(INDIRECT(ADDRESS(ROW(),COLUMN()-1,4)),UNSPSCCode,0)),"")</f>
        <v>Dispensadores de agua embotellada o accesorios</v>
      </c>
      <c r="C829" s="42" t="s">
        <v>46</v>
      </c>
      <c r="D829" s="42">
        <v>7</v>
      </c>
      <c r="E829" s="45">
        <v>13000</v>
      </c>
      <c r="F829" s="46">
        <f ca="1">INDIRECT(ADDRESS(ROW(),COLUMN()-2,4))*INDIRECT(ADDRESS(ROW(),COLUMN()-1,4))</f>
        <v>91000</v>
      </c>
      <c r="G829" s="50"/>
    </row>
    <row r="830" spans="1:7" x14ac:dyDescent="0.25">
      <c r="A830" s="50"/>
      <c r="B830" s="50"/>
      <c r="C830" s="50"/>
      <c r="D830" s="50"/>
      <c r="E830" s="54" t="s">
        <v>49</v>
      </c>
      <c r="F830" s="49">
        <f ca="1">SUM(Table356[MONTO TOTAL ESTIMADO])</f>
        <v>91000</v>
      </c>
      <c r="G830" s="50"/>
    </row>
    <row r="831" spans="1:7" ht="15.75" thickBot="1" x14ac:dyDescent="0.3">
      <c r="A831" s="50"/>
      <c r="B831" s="50"/>
      <c r="C831" s="50"/>
      <c r="D831" s="50"/>
      <c r="E831" s="55"/>
      <c r="F831" s="60"/>
      <c r="G831" s="57"/>
    </row>
    <row r="832" spans="1:7" ht="34.5" thickBot="1" x14ac:dyDescent="0.3">
      <c r="A832" s="31" t="s">
        <v>18</v>
      </c>
      <c r="B832" s="31" t="s">
        <v>19</v>
      </c>
      <c r="C832" s="31" t="s">
        <v>20</v>
      </c>
      <c r="D832" s="31" t="s">
        <v>21</v>
      </c>
      <c r="E832" s="31" t="s">
        <v>22</v>
      </c>
      <c r="F832" s="31" t="s">
        <v>23</v>
      </c>
      <c r="G832" s="50"/>
    </row>
    <row r="833" spans="1:7" ht="15.75" thickBot="1" x14ac:dyDescent="0.3">
      <c r="A833" s="33" t="s">
        <v>109</v>
      </c>
      <c r="B833" s="33" t="s">
        <v>110</v>
      </c>
      <c r="C833" s="33" t="s">
        <v>26</v>
      </c>
      <c r="D833" s="33" t="s">
        <v>52</v>
      </c>
      <c r="E833" s="33" t="s">
        <v>56</v>
      </c>
      <c r="F833" s="33"/>
      <c r="G833" s="50"/>
    </row>
    <row r="834" spans="1:7" ht="15.75" thickBot="1" x14ac:dyDescent="0.3">
      <c r="A834" s="34" t="s">
        <v>28</v>
      </c>
      <c r="B834" s="35" t="s">
        <v>29</v>
      </c>
      <c r="C834" s="51">
        <v>45026</v>
      </c>
      <c r="D834" s="34" t="s">
        <v>30</v>
      </c>
      <c r="E834" s="35" t="s">
        <v>31</v>
      </c>
      <c r="F834" s="33" t="s">
        <v>32</v>
      </c>
      <c r="G834" s="50"/>
    </row>
    <row r="835" spans="1:7" ht="15.75" thickBot="1" x14ac:dyDescent="0.3">
      <c r="A835" s="39"/>
      <c r="B835" s="35" t="s">
        <v>33</v>
      </c>
      <c r="C835" s="52">
        <f>IF(C834="","",IF(AND(MONTH(C834)&gt;=1,MONTH(C834)&lt;=3),1,IF(AND(MONTH(C834)&gt;=4,MONTH(C834)&lt;=6),2,IF(AND(MONTH(C834)&gt;=7,MONTH(C834)&lt;=9),3,4))))</f>
        <v>2</v>
      </c>
      <c r="D835" s="39"/>
      <c r="E835" s="35" t="s">
        <v>34</v>
      </c>
      <c r="F835" s="33" t="s">
        <v>35</v>
      </c>
      <c r="G835" s="50"/>
    </row>
    <row r="836" spans="1:7" ht="15.75" thickBot="1" x14ac:dyDescent="0.3">
      <c r="A836" s="39"/>
      <c r="B836" s="35" t="s">
        <v>36</v>
      </c>
      <c r="C836" s="51">
        <v>45033</v>
      </c>
      <c r="D836" s="39"/>
      <c r="E836" s="35" t="s">
        <v>37</v>
      </c>
      <c r="F836" s="33" t="s">
        <v>35</v>
      </c>
      <c r="G836" s="50"/>
    </row>
    <row r="837" spans="1:7" ht="15.75" thickBot="1" x14ac:dyDescent="0.3">
      <c r="A837" s="39"/>
      <c r="B837" s="35" t="s">
        <v>33</v>
      </c>
      <c r="C837" s="52">
        <f>IF(C836="","",IF(AND(MONTH(C836)&gt;=1,MONTH(C836)&lt;=3),1,IF(AND(MONTH(C836)&gt;=4,MONTH(C836)&lt;=6),2,IF(AND(MONTH(C836)&gt;=7,MONTH(C836)&lt;=9),3,4))))</f>
        <v>2</v>
      </c>
      <c r="D837" s="39"/>
      <c r="E837" s="35" t="s">
        <v>38</v>
      </c>
      <c r="F837" s="33" t="s">
        <v>35</v>
      </c>
      <c r="G837" s="50"/>
    </row>
    <row r="838" spans="1:7" ht="15.75" thickBot="1" x14ac:dyDescent="0.3">
      <c r="A838" s="50"/>
      <c r="B838" s="50"/>
      <c r="C838" s="50"/>
      <c r="D838" s="50"/>
      <c r="E838" s="50"/>
      <c r="F838" s="50"/>
      <c r="G838" s="50"/>
    </row>
    <row r="839" spans="1:7" ht="15.75" thickBot="1" x14ac:dyDescent="0.3">
      <c r="A839" s="41" t="s">
        <v>39</v>
      </c>
      <c r="B839" s="41" t="s">
        <v>40</v>
      </c>
      <c r="C839" s="41" t="s">
        <v>41</v>
      </c>
      <c r="D839" s="41" t="s">
        <v>42</v>
      </c>
      <c r="E839" s="41" t="s">
        <v>43</v>
      </c>
      <c r="F839" s="41" t="s">
        <v>44</v>
      </c>
      <c r="G839" s="50"/>
    </row>
    <row r="840" spans="1:7" ht="45" x14ac:dyDescent="0.25">
      <c r="A840" s="42">
        <v>43222615</v>
      </c>
      <c r="B840" s="43" t="str">
        <f ca="1">IFERROR(INDEX(UNSPSCDes,MATCH(INDIRECT(ADDRESS(ROW(),COLUMN()-1,4)),UNSPSCCode,0)),"")</f>
        <v>Interruptor de área de almacenamiento de red san</v>
      </c>
      <c r="C840" s="42" t="s">
        <v>46</v>
      </c>
      <c r="D840" s="42">
        <v>2</v>
      </c>
      <c r="E840" s="45">
        <v>13000</v>
      </c>
      <c r="F840" s="46">
        <f ca="1">INDIRECT(ADDRESS(ROW(),COLUMN()-2,4))*INDIRECT(ADDRESS(ROW(),COLUMN()-1,4))</f>
        <v>26000</v>
      </c>
      <c r="G840" s="50"/>
    </row>
    <row r="841" spans="1:7" x14ac:dyDescent="0.25">
      <c r="A841" s="50"/>
      <c r="B841" s="50"/>
      <c r="C841" s="50"/>
      <c r="D841" s="50"/>
      <c r="E841" s="54" t="s">
        <v>49</v>
      </c>
      <c r="F841" s="49">
        <f ca="1">SUM(Table357[MONTO TOTAL ESTIMADO])</f>
        <v>26000</v>
      </c>
      <c r="G841" s="50"/>
    </row>
    <row r="842" spans="1:7" ht="15.75" thickBot="1" x14ac:dyDescent="0.3">
      <c r="A842" s="50"/>
      <c r="B842" s="50"/>
      <c r="C842" s="50"/>
      <c r="D842" s="50"/>
      <c r="E842" s="55"/>
      <c r="F842" s="60"/>
      <c r="G842" s="57"/>
    </row>
    <row r="843" spans="1:7" ht="34.5" thickBot="1" x14ac:dyDescent="0.3">
      <c r="A843" s="31" t="s">
        <v>18</v>
      </c>
      <c r="B843" s="31" t="s">
        <v>19</v>
      </c>
      <c r="C843" s="31" t="s">
        <v>20</v>
      </c>
      <c r="D843" s="31" t="s">
        <v>21</v>
      </c>
      <c r="E843" s="31" t="s">
        <v>22</v>
      </c>
      <c r="F843" s="31" t="s">
        <v>23</v>
      </c>
      <c r="G843" s="50"/>
    </row>
    <row r="844" spans="1:7" ht="15.75" thickBot="1" x14ac:dyDescent="0.3">
      <c r="A844" s="33" t="s">
        <v>121</v>
      </c>
      <c r="B844" s="33" t="s">
        <v>122</v>
      </c>
      <c r="C844" s="33" t="s">
        <v>74</v>
      </c>
      <c r="D844" s="33" t="s">
        <v>27</v>
      </c>
      <c r="E844" s="33" t="s">
        <v>56</v>
      </c>
      <c r="F844" s="33"/>
      <c r="G844" s="50"/>
    </row>
    <row r="845" spans="1:7" ht="15.75" thickBot="1" x14ac:dyDescent="0.3">
      <c r="A845" s="34" t="s">
        <v>28</v>
      </c>
      <c r="B845" s="35" t="s">
        <v>29</v>
      </c>
      <c r="C845" s="51">
        <v>45019</v>
      </c>
      <c r="D845" s="34" t="s">
        <v>30</v>
      </c>
      <c r="E845" s="35" t="s">
        <v>31</v>
      </c>
      <c r="F845" s="33" t="s">
        <v>32</v>
      </c>
      <c r="G845" s="50"/>
    </row>
    <row r="846" spans="1:7" ht="15.75" thickBot="1" x14ac:dyDescent="0.3">
      <c r="A846" s="39"/>
      <c r="B846" s="35" t="s">
        <v>33</v>
      </c>
      <c r="C846" s="52">
        <f>IF(C845="","",IF(AND(MONTH(C845)&gt;=1,MONTH(C845)&lt;=3),1,IF(AND(MONTH(C845)&gt;=4,MONTH(C845)&lt;=6),2,IF(AND(MONTH(C845)&gt;=7,MONTH(C845)&lt;=9),3,4))))</f>
        <v>2</v>
      </c>
      <c r="D846" s="39"/>
      <c r="E846" s="35" t="s">
        <v>34</v>
      </c>
      <c r="F846" s="33" t="s">
        <v>35</v>
      </c>
      <c r="G846" s="50"/>
    </row>
    <row r="847" spans="1:7" ht="15.75" thickBot="1" x14ac:dyDescent="0.3">
      <c r="A847" s="39"/>
      <c r="B847" s="35" t="s">
        <v>36</v>
      </c>
      <c r="C847" s="51">
        <v>45028</v>
      </c>
      <c r="D847" s="39"/>
      <c r="E847" s="35" t="s">
        <v>37</v>
      </c>
      <c r="F847" s="33" t="s">
        <v>35</v>
      </c>
      <c r="G847" s="50"/>
    </row>
    <row r="848" spans="1:7" ht="15.75" thickBot="1" x14ac:dyDescent="0.3">
      <c r="A848" s="39"/>
      <c r="B848" s="35" t="s">
        <v>33</v>
      </c>
      <c r="C848" s="52">
        <f>IF(C847="","",IF(AND(MONTH(C847)&gt;=1,MONTH(C847)&lt;=3),1,IF(AND(MONTH(C847)&gt;=4,MONTH(C847)&lt;=6),2,IF(AND(MONTH(C847)&gt;=7,MONTH(C847)&lt;=9),3,4))))</f>
        <v>2</v>
      </c>
      <c r="D848" s="39"/>
      <c r="E848" s="35" t="s">
        <v>38</v>
      </c>
      <c r="F848" s="33" t="s">
        <v>35</v>
      </c>
      <c r="G848" s="50"/>
    </row>
    <row r="849" spans="1:7" ht="15.75" thickBot="1" x14ac:dyDescent="0.3">
      <c r="A849" s="50"/>
      <c r="B849" s="50"/>
      <c r="C849" s="50"/>
      <c r="D849" s="50"/>
      <c r="E849" s="50"/>
      <c r="F849" s="50"/>
      <c r="G849" s="50"/>
    </row>
    <row r="850" spans="1:7" ht="15.75" thickBot="1" x14ac:dyDescent="0.3">
      <c r="A850" s="41" t="s">
        <v>39</v>
      </c>
      <c r="B850" s="41" t="s">
        <v>40</v>
      </c>
      <c r="C850" s="41" t="s">
        <v>41</v>
      </c>
      <c r="D850" s="41" t="s">
        <v>42</v>
      </c>
      <c r="E850" s="41" t="s">
        <v>43</v>
      </c>
      <c r="F850" s="41" t="s">
        <v>44</v>
      </c>
      <c r="G850" s="50"/>
    </row>
    <row r="851" spans="1:7" ht="45" x14ac:dyDescent="0.25">
      <c r="A851" s="42">
        <v>86101601</v>
      </c>
      <c r="B851" s="43" t="str">
        <f ca="1">IFERROR(INDEX(UNSPSCDes,MATCH(INDIRECT(ADDRESS(ROW(),COLUMN()-1,4)),UNSPSCCode,0)),"")</f>
        <v>Servicios de formación profesional en informática</v>
      </c>
      <c r="C851" s="42" t="s">
        <v>46</v>
      </c>
      <c r="D851" s="42">
        <v>10</v>
      </c>
      <c r="E851" s="45">
        <v>18000</v>
      </c>
      <c r="F851" s="46">
        <f ca="1">INDIRECT(ADDRESS(ROW(),COLUMN()-2,4))*INDIRECT(ADDRESS(ROW(),COLUMN()-1,4))</f>
        <v>180000</v>
      </c>
      <c r="G851" s="50"/>
    </row>
    <row r="852" spans="1:7" ht="45" x14ac:dyDescent="0.25">
      <c r="A852" s="42">
        <v>86101601</v>
      </c>
      <c r="B852" s="43" t="str">
        <f ca="1">IFERROR(INDEX(UNSPSCDes,MATCH(INDIRECT(ADDRESS(ROW(),COLUMN()-1,4)),UNSPSCCode,0)),"")</f>
        <v>Servicios de formación profesional en informática</v>
      </c>
      <c r="C852" s="42" t="s">
        <v>46</v>
      </c>
      <c r="D852" s="42">
        <v>15</v>
      </c>
      <c r="E852" s="45">
        <v>21000</v>
      </c>
      <c r="F852" s="46">
        <f ca="1">INDIRECT(ADDRESS(ROW(),COLUMN()-2,4))*INDIRECT(ADDRESS(ROW(),COLUMN()-1,4))</f>
        <v>315000</v>
      </c>
      <c r="G852" s="50"/>
    </row>
    <row r="853" spans="1:7" ht="45" x14ac:dyDescent="0.25">
      <c r="A853" s="42">
        <v>86101601</v>
      </c>
      <c r="B853" s="43" t="str">
        <f ca="1">IFERROR(INDEX(UNSPSCDes,MATCH(INDIRECT(ADDRESS(ROW(),COLUMN()-1,4)),UNSPSCCode,0)),"")</f>
        <v>Servicios de formación profesional en informática</v>
      </c>
      <c r="C853" s="42" t="s">
        <v>46</v>
      </c>
      <c r="D853" s="42">
        <v>12</v>
      </c>
      <c r="E853" s="45">
        <v>30000</v>
      </c>
      <c r="F853" s="46">
        <f ca="1">INDIRECT(ADDRESS(ROW(),COLUMN()-2,4))*INDIRECT(ADDRESS(ROW(),COLUMN()-1,4))</f>
        <v>360000</v>
      </c>
      <c r="G853" s="50"/>
    </row>
    <row r="854" spans="1:7" ht="45" x14ac:dyDescent="0.25">
      <c r="A854" s="42">
        <v>86101601</v>
      </c>
      <c r="B854" s="43" t="str">
        <f ca="1">IFERROR(INDEX(UNSPSCDes,MATCH(INDIRECT(ADDRESS(ROW(),COLUMN()-1,4)),UNSPSCCode,0)),"")</f>
        <v>Servicios de formación profesional en informática</v>
      </c>
      <c r="C854" s="42" t="s">
        <v>46</v>
      </c>
      <c r="D854" s="42">
        <v>20</v>
      </c>
      <c r="E854" s="45">
        <v>5000</v>
      </c>
      <c r="F854" s="46">
        <f ca="1">INDIRECT(ADDRESS(ROW(),COLUMN()-2,4))*INDIRECT(ADDRESS(ROW(),COLUMN()-1,4))</f>
        <v>100000</v>
      </c>
      <c r="G854" s="50"/>
    </row>
    <row r="855" spans="1:7" ht="45" x14ac:dyDescent="0.25">
      <c r="A855" s="42">
        <v>86101601</v>
      </c>
      <c r="B855" s="43" t="str">
        <f ca="1">IFERROR(INDEX(UNSPSCDes,MATCH(INDIRECT(ADDRESS(ROW(),COLUMN()-1,4)),UNSPSCCode,0)),"")</f>
        <v>Servicios de formación profesional en informática</v>
      </c>
      <c r="C855" s="42" t="s">
        <v>46</v>
      </c>
      <c r="D855" s="42">
        <v>35</v>
      </c>
      <c r="E855" s="45">
        <v>7000</v>
      </c>
      <c r="F855" s="46">
        <f ca="1">INDIRECT(ADDRESS(ROW(),COLUMN()-2,4))*INDIRECT(ADDRESS(ROW(),COLUMN()-1,4))</f>
        <v>245000</v>
      </c>
      <c r="G855" s="50"/>
    </row>
    <row r="856" spans="1:7" x14ac:dyDescent="0.25">
      <c r="A856" s="50"/>
      <c r="B856" s="50"/>
      <c r="C856" s="50"/>
      <c r="D856" s="50"/>
      <c r="E856" s="54" t="s">
        <v>49</v>
      </c>
      <c r="F856" s="49">
        <f ca="1">SUM(Table358[MONTO TOTAL ESTIMADO])</f>
        <v>1200000</v>
      </c>
      <c r="G856" s="50"/>
    </row>
    <row r="857" spans="1:7" ht="15.75" thickBot="1" x14ac:dyDescent="0.3">
      <c r="A857" s="50"/>
      <c r="B857" s="50"/>
      <c r="C857" s="50"/>
      <c r="D857" s="50"/>
      <c r="E857" s="55"/>
      <c r="F857" s="60"/>
      <c r="G857" s="57"/>
    </row>
    <row r="858" spans="1:7" ht="34.5" thickBot="1" x14ac:dyDescent="0.3">
      <c r="A858" s="31" t="s">
        <v>18</v>
      </c>
      <c r="B858" s="31" t="s">
        <v>19</v>
      </c>
      <c r="C858" s="31" t="s">
        <v>20</v>
      </c>
      <c r="D858" s="31" t="s">
        <v>21</v>
      </c>
      <c r="E858" s="31" t="s">
        <v>22</v>
      </c>
      <c r="F858" s="31" t="s">
        <v>23</v>
      </c>
      <c r="G858" s="50"/>
    </row>
    <row r="859" spans="1:7" ht="15.75" thickBot="1" x14ac:dyDescent="0.3">
      <c r="A859" s="33" t="s">
        <v>121</v>
      </c>
      <c r="B859" s="33" t="s">
        <v>122</v>
      </c>
      <c r="C859" s="33" t="s">
        <v>74</v>
      </c>
      <c r="D859" s="33" t="s">
        <v>52</v>
      </c>
      <c r="E859" s="33" t="s">
        <v>56</v>
      </c>
      <c r="F859" s="33"/>
      <c r="G859" s="50"/>
    </row>
    <row r="860" spans="1:7" ht="15.75" thickBot="1" x14ac:dyDescent="0.3">
      <c r="A860" s="34" t="s">
        <v>28</v>
      </c>
      <c r="B860" s="35" t="s">
        <v>29</v>
      </c>
      <c r="C860" s="51">
        <v>45027</v>
      </c>
      <c r="D860" s="34" t="s">
        <v>30</v>
      </c>
      <c r="E860" s="35" t="s">
        <v>31</v>
      </c>
      <c r="F860" s="33" t="s">
        <v>32</v>
      </c>
      <c r="G860" s="50"/>
    </row>
    <row r="861" spans="1:7" ht="15.75" thickBot="1" x14ac:dyDescent="0.3">
      <c r="A861" s="39"/>
      <c r="B861" s="35" t="s">
        <v>33</v>
      </c>
      <c r="C861" s="52">
        <f>IF(C860="","",IF(AND(MONTH(C860)&gt;=1,MONTH(C860)&lt;=3),1,IF(AND(MONTH(C860)&gt;=4,MONTH(C860)&lt;=6),2,IF(AND(MONTH(C860)&gt;=7,MONTH(C860)&lt;=9),3,4))))</f>
        <v>2</v>
      </c>
      <c r="D861" s="39"/>
      <c r="E861" s="35" t="s">
        <v>34</v>
      </c>
      <c r="F861" s="33" t="s">
        <v>35</v>
      </c>
      <c r="G861" s="50"/>
    </row>
    <row r="862" spans="1:7" ht="15.75" thickBot="1" x14ac:dyDescent="0.3">
      <c r="A862" s="39"/>
      <c r="B862" s="35" t="s">
        <v>36</v>
      </c>
      <c r="C862" s="51">
        <v>45036</v>
      </c>
      <c r="D862" s="39"/>
      <c r="E862" s="35" t="s">
        <v>37</v>
      </c>
      <c r="F862" s="33" t="s">
        <v>35</v>
      </c>
      <c r="G862" s="50"/>
    </row>
    <row r="863" spans="1:7" ht="15.75" thickBot="1" x14ac:dyDescent="0.3">
      <c r="A863" s="39"/>
      <c r="B863" s="35" t="s">
        <v>33</v>
      </c>
      <c r="C863" s="52">
        <f>IF(C862="","",IF(AND(MONTH(C862)&gt;=1,MONTH(C862)&lt;=3),1,IF(AND(MONTH(C862)&gt;=4,MONTH(C862)&lt;=6),2,IF(AND(MONTH(C862)&gt;=7,MONTH(C862)&lt;=9),3,4))))</f>
        <v>2</v>
      </c>
      <c r="D863" s="39"/>
      <c r="E863" s="35" t="s">
        <v>38</v>
      </c>
      <c r="F863" s="33" t="s">
        <v>35</v>
      </c>
      <c r="G863" s="50"/>
    </row>
    <row r="864" spans="1:7" ht="15.75" thickBot="1" x14ac:dyDescent="0.3">
      <c r="A864" s="50"/>
      <c r="B864" s="50"/>
      <c r="C864" s="50"/>
      <c r="D864" s="50"/>
      <c r="E864" s="50"/>
      <c r="F864" s="50"/>
      <c r="G864" s="50"/>
    </row>
    <row r="865" spans="1:7" ht="15.75" thickBot="1" x14ac:dyDescent="0.3">
      <c r="A865" s="41" t="s">
        <v>39</v>
      </c>
      <c r="B865" s="41" t="s">
        <v>40</v>
      </c>
      <c r="C865" s="41" t="s">
        <v>41</v>
      </c>
      <c r="D865" s="41" t="s">
        <v>42</v>
      </c>
      <c r="E865" s="41" t="s">
        <v>43</v>
      </c>
      <c r="F865" s="41" t="s">
        <v>44</v>
      </c>
      <c r="G865" s="50"/>
    </row>
    <row r="866" spans="1:7" ht="22.5" x14ac:dyDescent="0.25">
      <c r="A866" s="42">
        <v>86101705</v>
      </c>
      <c r="B866" s="43" t="str">
        <f ca="1">IFERROR(INDEX(UNSPSCDes,MATCH(INDIRECT(ADDRESS(ROW(),COLUMN()-1,4)),UNSPSCCode,0)),"")</f>
        <v>Capacitación administrativa</v>
      </c>
      <c r="C866" s="42" t="s">
        <v>46</v>
      </c>
      <c r="D866" s="42">
        <v>1</v>
      </c>
      <c r="E866" s="45">
        <v>70000</v>
      </c>
      <c r="F866" s="46">
        <f ca="1">INDIRECT(ADDRESS(ROW(),COLUMN()-2,4))*INDIRECT(ADDRESS(ROW(),COLUMN()-1,4))</f>
        <v>70000</v>
      </c>
      <c r="G866" s="50"/>
    </row>
    <row r="867" spans="1:7" x14ac:dyDescent="0.25">
      <c r="A867" s="50"/>
      <c r="B867" s="50"/>
      <c r="C867" s="50"/>
      <c r="D867" s="50"/>
      <c r="E867" s="54" t="s">
        <v>49</v>
      </c>
      <c r="F867" s="49">
        <f ca="1">SUM(Table359[MONTO TOTAL ESTIMADO])</f>
        <v>70000</v>
      </c>
      <c r="G867" s="50"/>
    </row>
    <row r="868" spans="1:7" ht="15.75" thickBot="1" x14ac:dyDescent="0.3">
      <c r="A868" s="50"/>
      <c r="B868" s="50"/>
      <c r="C868" s="50"/>
      <c r="D868" s="50"/>
      <c r="E868" s="55"/>
      <c r="F868" s="60"/>
      <c r="G868" s="57"/>
    </row>
    <row r="869" spans="1:7" ht="34.5" thickBot="1" x14ac:dyDescent="0.3">
      <c r="A869" s="31" t="s">
        <v>18</v>
      </c>
      <c r="B869" s="31" t="s">
        <v>19</v>
      </c>
      <c r="C869" s="31" t="s">
        <v>20</v>
      </c>
      <c r="D869" s="31" t="s">
        <v>21</v>
      </c>
      <c r="E869" s="31" t="s">
        <v>22</v>
      </c>
      <c r="F869" s="31" t="s">
        <v>23</v>
      </c>
      <c r="G869" s="50"/>
    </row>
    <row r="870" spans="1:7" ht="15.75" thickBot="1" x14ac:dyDescent="0.3">
      <c r="A870" s="33" t="s">
        <v>123</v>
      </c>
      <c r="B870" s="33" t="s">
        <v>124</v>
      </c>
      <c r="C870" s="33" t="s">
        <v>74</v>
      </c>
      <c r="D870" s="33" t="s">
        <v>52</v>
      </c>
      <c r="E870" s="33" t="s">
        <v>53</v>
      </c>
      <c r="F870" s="33"/>
      <c r="G870" s="50"/>
    </row>
    <row r="871" spans="1:7" ht="15.75" thickBot="1" x14ac:dyDescent="0.3">
      <c r="A871" s="34" t="s">
        <v>28</v>
      </c>
      <c r="B871" s="35" t="s">
        <v>29</v>
      </c>
      <c r="C871" s="51">
        <v>45026</v>
      </c>
      <c r="D871" s="34" t="s">
        <v>30</v>
      </c>
      <c r="E871" s="35" t="s">
        <v>31</v>
      </c>
      <c r="F871" s="33" t="s">
        <v>32</v>
      </c>
      <c r="G871" s="50"/>
    </row>
    <row r="872" spans="1:7" ht="15.75" thickBot="1" x14ac:dyDescent="0.3">
      <c r="A872" s="39"/>
      <c r="B872" s="35" t="s">
        <v>33</v>
      </c>
      <c r="C872" s="52">
        <f>IF(C871="","",IF(AND(MONTH(C871)&gt;=1,MONTH(C871)&lt;=3),1,IF(AND(MONTH(C871)&gt;=4,MONTH(C871)&lt;=6),2,IF(AND(MONTH(C871)&gt;=7,MONTH(C871)&lt;=9),3,4))))</f>
        <v>2</v>
      </c>
      <c r="D872" s="39"/>
      <c r="E872" s="35" t="s">
        <v>34</v>
      </c>
      <c r="F872" s="33" t="s">
        <v>35</v>
      </c>
      <c r="G872" s="50"/>
    </row>
    <row r="873" spans="1:7" ht="15.75" thickBot="1" x14ac:dyDescent="0.3">
      <c r="A873" s="39"/>
      <c r="B873" s="35" t="s">
        <v>36</v>
      </c>
      <c r="C873" s="51">
        <v>45037</v>
      </c>
      <c r="D873" s="39"/>
      <c r="E873" s="35" t="s">
        <v>37</v>
      </c>
      <c r="F873" s="33" t="s">
        <v>35</v>
      </c>
      <c r="G873" s="50"/>
    </row>
    <row r="874" spans="1:7" ht="15.75" thickBot="1" x14ac:dyDescent="0.3">
      <c r="A874" s="39"/>
      <c r="B874" s="35" t="s">
        <v>33</v>
      </c>
      <c r="C874" s="52">
        <f>IF(C873="","",IF(AND(MONTH(C873)&gt;=1,MONTH(C873)&lt;=3),1,IF(AND(MONTH(C873)&gt;=4,MONTH(C873)&lt;=6),2,IF(AND(MONTH(C873)&gt;=7,MONTH(C873)&lt;=9),3,4))))</f>
        <v>2</v>
      </c>
      <c r="D874" s="39"/>
      <c r="E874" s="35" t="s">
        <v>38</v>
      </c>
      <c r="F874" s="33" t="s">
        <v>35</v>
      </c>
      <c r="G874" s="50"/>
    </row>
    <row r="875" spans="1:7" ht="15.75" thickBot="1" x14ac:dyDescent="0.3">
      <c r="A875" s="50"/>
      <c r="B875" s="50"/>
      <c r="C875" s="50"/>
      <c r="D875" s="50"/>
      <c r="E875" s="50"/>
      <c r="F875" s="50"/>
      <c r="G875" s="50"/>
    </row>
    <row r="876" spans="1:7" ht="15.75" thickBot="1" x14ac:dyDescent="0.3">
      <c r="A876" s="41" t="s">
        <v>39</v>
      </c>
      <c r="B876" s="41" t="s">
        <v>40</v>
      </c>
      <c r="C876" s="41" t="s">
        <v>41</v>
      </c>
      <c r="D876" s="41" t="s">
        <v>42</v>
      </c>
      <c r="E876" s="41" t="s">
        <v>43</v>
      </c>
      <c r="F876" s="41" t="s">
        <v>44</v>
      </c>
      <c r="G876" s="50"/>
    </row>
    <row r="877" spans="1:7" ht="22.5" x14ac:dyDescent="0.25">
      <c r="A877" s="42">
        <v>86101705</v>
      </c>
      <c r="B877" s="43" t="str">
        <f ca="1">IFERROR(INDEX(UNSPSCDes,MATCH(INDIRECT(ADDRESS(ROW(),COLUMN()-1,4)),UNSPSCCode,0)),"")</f>
        <v>Capacitación administrativa</v>
      </c>
      <c r="C877" s="42" t="s">
        <v>46</v>
      </c>
      <c r="D877" s="42">
        <v>25</v>
      </c>
      <c r="E877" s="45">
        <v>300</v>
      </c>
      <c r="F877" s="46">
        <f ca="1">INDIRECT(ADDRESS(ROW(),COLUMN()-2,4))*INDIRECT(ADDRESS(ROW(),COLUMN()-1,4))</f>
        <v>7500</v>
      </c>
      <c r="G877" s="50"/>
    </row>
    <row r="878" spans="1:7" x14ac:dyDescent="0.25">
      <c r="A878" s="50"/>
      <c r="B878" s="50"/>
      <c r="C878" s="50"/>
      <c r="D878" s="50"/>
      <c r="E878" s="54" t="s">
        <v>49</v>
      </c>
      <c r="F878" s="49">
        <f ca="1">SUM(Table360[MONTO TOTAL ESTIMADO])</f>
        <v>7500</v>
      </c>
      <c r="G878" s="50"/>
    </row>
    <row r="879" spans="1:7" ht="15.75" thickBot="1" x14ac:dyDescent="0.3">
      <c r="A879" s="50"/>
      <c r="B879" s="50"/>
      <c r="C879" s="50"/>
      <c r="D879" s="50"/>
      <c r="E879" s="55"/>
      <c r="F879" s="60"/>
      <c r="G879" s="57"/>
    </row>
    <row r="880" spans="1:7" ht="34.5" thickBot="1" x14ac:dyDescent="0.3">
      <c r="A880" s="31" t="s">
        <v>18</v>
      </c>
      <c r="B880" s="31" t="s">
        <v>19</v>
      </c>
      <c r="C880" s="31" t="s">
        <v>20</v>
      </c>
      <c r="D880" s="31" t="s">
        <v>21</v>
      </c>
      <c r="E880" s="31" t="s">
        <v>22</v>
      </c>
      <c r="F880" s="31" t="s">
        <v>23</v>
      </c>
      <c r="G880" s="50"/>
    </row>
    <row r="881" spans="1:7" ht="15.75" thickBot="1" x14ac:dyDescent="0.3">
      <c r="A881" s="33" t="s">
        <v>109</v>
      </c>
      <c r="B881" s="33" t="s">
        <v>110</v>
      </c>
      <c r="C881" s="33" t="s">
        <v>26</v>
      </c>
      <c r="D881" s="33" t="s">
        <v>75</v>
      </c>
      <c r="E881" s="33" t="s">
        <v>56</v>
      </c>
      <c r="F881" s="33"/>
      <c r="G881" s="50"/>
    </row>
    <row r="882" spans="1:7" ht="15.75" thickBot="1" x14ac:dyDescent="0.3">
      <c r="A882" s="34" t="s">
        <v>28</v>
      </c>
      <c r="B882" s="35" t="s">
        <v>29</v>
      </c>
      <c r="C882" s="51">
        <v>45031</v>
      </c>
      <c r="D882" s="34" t="s">
        <v>30</v>
      </c>
      <c r="E882" s="35" t="s">
        <v>31</v>
      </c>
      <c r="F882" s="33" t="s">
        <v>32</v>
      </c>
      <c r="G882" s="50"/>
    </row>
    <row r="883" spans="1:7" ht="15.75" thickBot="1" x14ac:dyDescent="0.3">
      <c r="A883" s="39"/>
      <c r="B883" s="35" t="s">
        <v>33</v>
      </c>
      <c r="C883" s="52">
        <f>IF(C882="","",IF(AND(MONTH(C882)&gt;=1,MONTH(C882)&lt;=3),1,IF(AND(MONTH(C882)&gt;=4,MONTH(C882)&lt;=6),2,IF(AND(MONTH(C882)&gt;=7,MONTH(C882)&lt;=9),3,4))))</f>
        <v>2</v>
      </c>
      <c r="D883" s="39"/>
      <c r="E883" s="35" t="s">
        <v>34</v>
      </c>
      <c r="F883" s="33" t="s">
        <v>35</v>
      </c>
      <c r="G883" s="50"/>
    </row>
    <row r="884" spans="1:7" ht="15.75" thickBot="1" x14ac:dyDescent="0.3">
      <c r="A884" s="39"/>
      <c r="B884" s="35" t="s">
        <v>36</v>
      </c>
      <c r="C884" s="51">
        <v>45040</v>
      </c>
      <c r="D884" s="39"/>
      <c r="E884" s="35" t="s">
        <v>37</v>
      </c>
      <c r="F884" s="33" t="s">
        <v>35</v>
      </c>
      <c r="G884" s="50"/>
    </row>
    <row r="885" spans="1:7" ht="15.75" thickBot="1" x14ac:dyDescent="0.3">
      <c r="A885" s="39"/>
      <c r="B885" s="35" t="s">
        <v>33</v>
      </c>
      <c r="C885" s="52">
        <f>IF(C884="","",IF(AND(MONTH(C884)&gt;=1,MONTH(C884)&lt;=3),1,IF(AND(MONTH(C884)&gt;=4,MONTH(C884)&lt;=6),2,IF(AND(MONTH(C884)&gt;=7,MONTH(C884)&lt;=9),3,4))))</f>
        <v>2</v>
      </c>
      <c r="D885" s="39"/>
      <c r="E885" s="35" t="s">
        <v>38</v>
      </c>
      <c r="F885" s="33" t="s">
        <v>35</v>
      </c>
      <c r="G885" s="50"/>
    </row>
    <row r="886" spans="1:7" ht="15.75" thickBot="1" x14ac:dyDescent="0.3">
      <c r="A886" s="50"/>
      <c r="B886" s="50"/>
      <c r="C886" s="50"/>
      <c r="D886" s="50"/>
      <c r="E886" s="50"/>
      <c r="F886" s="50"/>
      <c r="G886" s="50"/>
    </row>
    <row r="887" spans="1:7" ht="15.75" thickBot="1" x14ac:dyDescent="0.3">
      <c r="A887" s="41" t="s">
        <v>39</v>
      </c>
      <c r="B887" s="41" t="s">
        <v>40</v>
      </c>
      <c r="C887" s="41" t="s">
        <v>41</v>
      </c>
      <c r="D887" s="41" t="s">
        <v>42</v>
      </c>
      <c r="E887" s="41" t="s">
        <v>43</v>
      </c>
      <c r="F887" s="41" t="s">
        <v>44</v>
      </c>
      <c r="G887" s="50"/>
    </row>
    <row r="888" spans="1:7" ht="22.5" x14ac:dyDescent="0.25">
      <c r="A888" s="42">
        <v>43211507</v>
      </c>
      <c r="B888" s="43" t="str">
        <f t="shared" ref="B888:B897" ca="1" si="15">IFERROR(INDEX(UNSPSCDes,MATCH(INDIRECT(ADDRESS(ROW(),COLUMN()-1,4)),UNSPSCCode,0)),"")</f>
        <v>Computadores de escritorio</v>
      </c>
      <c r="C888" s="42" t="s">
        <v>46</v>
      </c>
      <c r="D888" s="42">
        <v>10</v>
      </c>
      <c r="E888" s="45">
        <v>15000</v>
      </c>
      <c r="F888" s="46">
        <f t="shared" ref="F888:F897" ca="1" si="16">INDIRECT(ADDRESS(ROW(),COLUMN()-2,4))*INDIRECT(ADDRESS(ROW(),COLUMN()-1,4))</f>
        <v>150000</v>
      </c>
      <c r="G888" s="50"/>
    </row>
    <row r="889" spans="1:7" ht="45" x14ac:dyDescent="0.25">
      <c r="A889" s="42">
        <v>43222615</v>
      </c>
      <c r="B889" s="43" t="str">
        <f t="shared" ca="1" si="15"/>
        <v>Interruptor de área de almacenamiento de red san</v>
      </c>
      <c r="C889" s="42" t="s">
        <v>46</v>
      </c>
      <c r="D889" s="42">
        <v>1</v>
      </c>
      <c r="E889" s="45">
        <v>800000</v>
      </c>
      <c r="F889" s="46">
        <f t="shared" ca="1" si="16"/>
        <v>800000</v>
      </c>
      <c r="G889" s="50"/>
    </row>
    <row r="890" spans="1:7" ht="33.75" x14ac:dyDescent="0.25">
      <c r="A890" s="42">
        <v>43211601</v>
      </c>
      <c r="B890" s="43" t="str">
        <f t="shared" ca="1" si="15"/>
        <v>Cajas de interruptores de computador</v>
      </c>
      <c r="C890" s="42" t="s">
        <v>46</v>
      </c>
      <c r="D890" s="42">
        <v>1</v>
      </c>
      <c r="E890" s="45">
        <v>200000</v>
      </c>
      <c r="F890" s="46">
        <f t="shared" ca="1" si="16"/>
        <v>200000</v>
      </c>
      <c r="G890" s="50"/>
    </row>
    <row r="891" spans="1:7" ht="22.5" x14ac:dyDescent="0.25">
      <c r="A891" s="42">
        <v>43211507</v>
      </c>
      <c r="B891" s="43" t="str">
        <f t="shared" ca="1" si="15"/>
        <v>Computadores de escritorio</v>
      </c>
      <c r="C891" s="42" t="s">
        <v>46</v>
      </c>
      <c r="D891" s="42">
        <v>3</v>
      </c>
      <c r="E891" s="45">
        <v>22000</v>
      </c>
      <c r="F891" s="46">
        <f t="shared" ca="1" si="16"/>
        <v>66000</v>
      </c>
      <c r="G891" s="50"/>
    </row>
    <row r="892" spans="1:7" ht="22.5" x14ac:dyDescent="0.25">
      <c r="A892" s="42">
        <v>43191609</v>
      </c>
      <c r="B892" s="43" t="str">
        <f t="shared" ca="1" si="15"/>
        <v>Teléfonos de diadema</v>
      </c>
      <c r="C892" s="42" t="s">
        <v>46</v>
      </c>
      <c r="D892" s="42">
        <v>20</v>
      </c>
      <c r="E892" s="45">
        <v>3000</v>
      </c>
      <c r="F892" s="46">
        <f t="shared" ca="1" si="16"/>
        <v>60000</v>
      </c>
      <c r="G892" s="50"/>
    </row>
    <row r="893" spans="1:7" ht="22.5" x14ac:dyDescent="0.25">
      <c r="A893" s="42">
        <v>43191609</v>
      </c>
      <c r="B893" s="43" t="str">
        <f t="shared" ca="1" si="15"/>
        <v>Teléfonos de diadema</v>
      </c>
      <c r="C893" s="42" t="s">
        <v>46</v>
      </c>
      <c r="D893" s="42">
        <v>25</v>
      </c>
      <c r="E893" s="45">
        <v>3000</v>
      </c>
      <c r="F893" s="46">
        <f t="shared" ca="1" si="16"/>
        <v>75000</v>
      </c>
      <c r="G893" s="50"/>
    </row>
    <row r="894" spans="1:7" ht="22.5" x14ac:dyDescent="0.25">
      <c r="A894" s="42">
        <v>43191609</v>
      </c>
      <c r="B894" s="43" t="str">
        <f t="shared" ca="1" si="15"/>
        <v>Teléfonos de diadema</v>
      </c>
      <c r="C894" s="42" t="s">
        <v>46</v>
      </c>
      <c r="D894" s="42">
        <v>3</v>
      </c>
      <c r="E894" s="45">
        <v>3000</v>
      </c>
      <c r="F894" s="46">
        <f t="shared" ca="1" si="16"/>
        <v>9000</v>
      </c>
      <c r="G894" s="50"/>
    </row>
    <row r="895" spans="1:7" ht="22.5" x14ac:dyDescent="0.25">
      <c r="A895" s="42">
        <v>43191609</v>
      </c>
      <c r="B895" s="43" t="str">
        <f t="shared" ca="1" si="15"/>
        <v>Teléfonos de diadema</v>
      </c>
      <c r="C895" s="42" t="s">
        <v>46</v>
      </c>
      <c r="D895" s="42">
        <v>3</v>
      </c>
      <c r="E895" s="45">
        <v>3000</v>
      </c>
      <c r="F895" s="46">
        <f t="shared" ca="1" si="16"/>
        <v>9000</v>
      </c>
      <c r="G895" s="50"/>
    </row>
    <row r="896" spans="1:7" ht="22.5" x14ac:dyDescent="0.25">
      <c r="A896" s="42">
        <v>43191609</v>
      </c>
      <c r="B896" s="43" t="str">
        <f t="shared" ca="1" si="15"/>
        <v>Teléfonos de diadema</v>
      </c>
      <c r="C896" s="42" t="s">
        <v>46</v>
      </c>
      <c r="D896" s="42">
        <v>3</v>
      </c>
      <c r="E896" s="45">
        <v>3000</v>
      </c>
      <c r="F896" s="46">
        <f t="shared" ca="1" si="16"/>
        <v>9000</v>
      </c>
      <c r="G896" s="50"/>
    </row>
    <row r="897" spans="1:7" ht="22.5" x14ac:dyDescent="0.25">
      <c r="A897" s="42">
        <v>43191609</v>
      </c>
      <c r="B897" s="43" t="str">
        <f t="shared" ca="1" si="15"/>
        <v>Teléfonos de diadema</v>
      </c>
      <c r="C897" s="42" t="s">
        <v>46</v>
      </c>
      <c r="D897" s="42">
        <v>1</v>
      </c>
      <c r="E897" s="45">
        <v>3000</v>
      </c>
      <c r="F897" s="46">
        <f t="shared" ca="1" si="16"/>
        <v>3000</v>
      </c>
      <c r="G897" s="50"/>
    </row>
    <row r="898" spans="1:7" x14ac:dyDescent="0.25">
      <c r="A898" s="50"/>
      <c r="B898" s="50"/>
      <c r="C898" s="50"/>
      <c r="D898" s="50"/>
      <c r="E898" s="54" t="s">
        <v>49</v>
      </c>
      <c r="F898" s="49">
        <f ca="1">SUM(Table361[MONTO TOTAL ESTIMADO])</f>
        <v>1381000</v>
      </c>
      <c r="G898" s="50"/>
    </row>
    <row r="899" spans="1:7" ht="15.75" thickBot="1" x14ac:dyDescent="0.3">
      <c r="A899" s="50"/>
      <c r="B899" s="50"/>
      <c r="C899" s="50"/>
      <c r="D899" s="50"/>
      <c r="E899" s="55"/>
      <c r="F899" s="60"/>
      <c r="G899" s="57"/>
    </row>
    <row r="900" spans="1:7" ht="34.5" thickBot="1" x14ac:dyDescent="0.3">
      <c r="A900" s="31" t="s">
        <v>18</v>
      </c>
      <c r="B900" s="31" t="s">
        <v>19</v>
      </c>
      <c r="C900" s="31" t="s">
        <v>20</v>
      </c>
      <c r="D900" s="31" t="s">
        <v>21</v>
      </c>
      <c r="E900" s="31" t="s">
        <v>22</v>
      </c>
      <c r="F900" s="31" t="s">
        <v>23</v>
      </c>
      <c r="G900" s="50"/>
    </row>
    <row r="901" spans="1:7" ht="15.75" thickBot="1" x14ac:dyDescent="0.3">
      <c r="A901" s="33" t="s">
        <v>81</v>
      </c>
      <c r="B901" s="33" t="s">
        <v>82</v>
      </c>
      <c r="C901" s="33" t="s">
        <v>74</v>
      </c>
      <c r="D901" s="33" t="s">
        <v>52</v>
      </c>
      <c r="E901" s="33" t="s">
        <v>53</v>
      </c>
      <c r="F901" s="33"/>
      <c r="G901" s="50"/>
    </row>
    <row r="902" spans="1:7" ht="15.75" thickBot="1" x14ac:dyDescent="0.3">
      <c r="A902" s="34" t="s">
        <v>28</v>
      </c>
      <c r="B902" s="35" t="s">
        <v>29</v>
      </c>
      <c r="C902" s="51">
        <v>45047</v>
      </c>
      <c r="D902" s="34" t="s">
        <v>30</v>
      </c>
      <c r="E902" s="35" t="s">
        <v>31</v>
      </c>
      <c r="F902" s="33" t="s">
        <v>32</v>
      </c>
      <c r="G902" s="50"/>
    </row>
    <row r="903" spans="1:7" ht="15.75" thickBot="1" x14ac:dyDescent="0.3">
      <c r="A903" s="39"/>
      <c r="B903" s="35" t="s">
        <v>33</v>
      </c>
      <c r="C903" s="52">
        <f>IF(C902="","",IF(AND(MONTH(C902)&gt;=1,MONTH(C902)&lt;=3),1,IF(AND(MONTH(C902)&gt;=4,MONTH(C902)&lt;=6),2,IF(AND(MONTH(C902)&gt;=7,MONTH(C902)&lt;=9),3,4))))</f>
        <v>2</v>
      </c>
      <c r="D903" s="39"/>
      <c r="E903" s="35" t="s">
        <v>34</v>
      </c>
      <c r="F903" s="33" t="s">
        <v>35</v>
      </c>
      <c r="G903" s="50"/>
    </row>
    <row r="904" spans="1:7" ht="15.75" thickBot="1" x14ac:dyDescent="0.3">
      <c r="A904" s="39"/>
      <c r="B904" s="35" t="s">
        <v>36</v>
      </c>
      <c r="C904" s="51">
        <v>45055</v>
      </c>
      <c r="D904" s="39"/>
      <c r="E904" s="35" t="s">
        <v>37</v>
      </c>
      <c r="F904" s="33" t="s">
        <v>35</v>
      </c>
      <c r="G904" s="50"/>
    </row>
    <row r="905" spans="1:7" ht="15.75" thickBot="1" x14ac:dyDescent="0.3">
      <c r="A905" s="39"/>
      <c r="B905" s="35" t="s">
        <v>33</v>
      </c>
      <c r="C905" s="52">
        <f>IF(C904="","",IF(AND(MONTH(C904)&gt;=1,MONTH(C904)&lt;=3),1,IF(AND(MONTH(C904)&gt;=4,MONTH(C904)&lt;=6),2,IF(AND(MONTH(C904)&gt;=7,MONTH(C904)&lt;=9),3,4))))</f>
        <v>2</v>
      </c>
      <c r="D905" s="39"/>
      <c r="E905" s="35" t="s">
        <v>38</v>
      </c>
      <c r="F905" s="33" t="s">
        <v>35</v>
      </c>
      <c r="G905" s="50"/>
    </row>
    <row r="906" spans="1:7" ht="15.75" thickBot="1" x14ac:dyDescent="0.3">
      <c r="A906" s="50"/>
      <c r="B906" s="50"/>
      <c r="C906" s="50"/>
      <c r="D906" s="50"/>
      <c r="E906" s="50"/>
      <c r="F906" s="50"/>
      <c r="G906" s="50"/>
    </row>
    <row r="907" spans="1:7" ht="15.75" thickBot="1" x14ac:dyDescent="0.3">
      <c r="A907" s="41" t="s">
        <v>39</v>
      </c>
      <c r="B907" s="41" t="s">
        <v>40</v>
      </c>
      <c r="C907" s="41" t="s">
        <v>41</v>
      </c>
      <c r="D907" s="41" t="s">
        <v>42</v>
      </c>
      <c r="E907" s="41" t="s">
        <v>43</v>
      </c>
      <c r="F907" s="41" t="s">
        <v>44</v>
      </c>
      <c r="G907" s="50"/>
    </row>
    <row r="908" spans="1:7" ht="33.75" x14ac:dyDescent="0.25">
      <c r="A908" s="42">
        <v>39121004</v>
      </c>
      <c r="B908" s="43" t="str">
        <f ca="1">IFERROR(INDEX(UNSPSCDes,MATCH(INDIRECT(ADDRESS(ROW(),COLUMN()-1,4)),UNSPSCCode,0)),"")</f>
        <v>Unidades de suministro de energía</v>
      </c>
      <c r="C908" s="42" t="s">
        <v>46</v>
      </c>
      <c r="D908" s="42">
        <v>1</v>
      </c>
      <c r="E908" s="45">
        <v>60000</v>
      </c>
      <c r="F908" s="46">
        <f ca="1">INDIRECT(ADDRESS(ROW(),COLUMN()-2,4))*INDIRECT(ADDRESS(ROW(),COLUMN()-1,4))</f>
        <v>60000</v>
      </c>
      <c r="G908" s="50"/>
    </row>
    <row r="909" spans="1:7" x14ac:dyDescent="0.25">
      <c r="A909" s="50"/>
      <c r="B909" s="50"/>
      <c r="C909" s="50"/>
      <c r="D909" s="50"/>
      <c r="E909" s="54" t="s">
        <v>49</v>
      </c>
      <c r="F909" s="49">
        <f ca="1">SUM(Table362[MONTO TOTAL ESTIMADO])</f>
        <v>60000</v>
      </c>
      <c r="G909" s="50"/>
    </row>
    <row r="910" spans="1:7" ht="15.75" thickBot="1" x14ac:dyDescent="0.3">
      <c r="A910" s="50"/>
      <c r="B910" s="50"/>
      <c r="C910" s="50"/>
      <c r="D910" s="50"/>
      <c r="E910" s="55"/>
      <c r="F910" s="56"/>
      <c r="G910" s="57"/>
    </row>
    <row r="911" spans="1:7" ht="34.5" thickBot="1" x14ac:dyDescent="0.3">
      <c r="A911" s="31" t="s">
        <v>18</v>
      </c>
      <c r="B911" s="31" t="s">
        <v>19</v>
      </c>
      <c r="C911" s="31" t="s">
        <v>20</v>
      </c>
      <c r="D911" s="31" t="s">
        <v>21</v>
      </c>
      <c r="E911" s="31" t="s">
        <v>22</v>
      </c>
      <c r="F911" s="31" t="s">
        <v>23</v>
      </c>
      <c r="G911" s="50"/>
    </row>
    <row r="912" spans="1:7" ht="15.75" thickBot="1" x14ac:dyDescent="0.3">
      <c r="A912" s="33" t="s">
        <v>125</v>
      </c>
      <c r="B912" s="33" t="s">
        <v>126</v>
      </c>
      <c r="C912" s="33" t="s">
        <v>74</v>
      </c>
      <c r="D912" s="33" t="s">
        <v>52</v>
      </c>
      <c r="E912" s="33" t="s">
        <v>53</v>
      </c>
      <c r="F912" s="33"/>
      <c r="G912" s="50"/>
    </row>
    <row r="913" spans="1:7" ht="15.75" thickBot="1" x14ac:dyDescent="0.3">
      <c r="A913" s="34" t="s">
        <v>28</v>
      </c>
      <c r="B913" s="35" t="s">
        <v>29</v>
      </c>
      <c r="C913" s="51">
        <v>45048</v>
      </c>
      <c r="D913" s="34" t="s">
        <v>30</v>
      </c>
      <c r="E913" s="35" t="s">
        <v>31</v>
      </c>
      <c r="F913" s="33" t="s">
        <v>32</v>
      </c>
      <c r="G913" s="50"/>
    </row>
    <row r="914" spans="1:7" ht="15.75" thickBot="1" x14ac:dyDescent="0.3">
      <c r="A914" s="39"/>
      <c r="B914" s="35" t="s">
        <v>33</v>
      </c>
      <c r="C914" s="52">
        <f>IF(C913="","",IF(AND(MONTH(C913)&gt;=1,MONTH(C913)&lt;=3),1,IF(AND(MONTH(C913)&gt;=4,MONTH(C913)&lt;=6),2,IF(AND(MONTH(C913)&gt;=7,MONTH(C913)&lt;=9),3,4))))</f>
        <v>2</v>
      </c>
      <c r="D914" s="39"/>
      <c r="E914" s="35" t="s">
        <v>34</v>
      </c>
      <c r="F914" s="33" t="s">
        <v>35</v>
      </c>
      <c r="G914" s="50"/>
    </row>
    <row r="915" spans="1:7" ht="15.75" thickBot="1" x14ac:dyDescent="0.3">
      <c r="A915" s="39"/>
      <c r="B915" s="35" t="s">
        <v>36</v>
      </c>
      <c r="C915" s="51">
        <v>45056</v>
      </c>
      <c r="D915" s="39"/>
      <c r="E915" s="35" t="s">
        <v>37</v>
      </c>
      <c r="F915" s="33" t="s">
        <v>35</v>
      </c>
      <c r="G915" s="50"/>
    </row>
    <row r="916" spans="1:7" ht="15.75" thickBot="1" x14ac:dyDescent="0.3">
      <c r="A916" s="39"/>
      <c r="B916" s="35" t="s">
        <v>33</v>
      </c>
      <c r="C916" s="52">
        <f>IF(C915="","",IF(AND(MONTH(C915)&gt;=1,MONTH(C915)&lt;=3),1,IF(AND(MONTH(C915)&gt;=4,MONTH(C915)&lt;=6),2,IF(AND(MONTH(C915)&gt;=7,MONTH(C915)&lt;=9),3,4))))</f>
        <v>2</v>
      </c>
      <c r="D916" s="39"/>
      <c r="E916" s="35" t="s">
        <v>38</v>
      </c>
      <c r="F916" s="33" t="s">
        <v>35</v>
      </c>
      <c r="G916" s="50"/>
    </row>
    <row r="917" spans="1:7" ht="15.75" thickBot="1" x14ac:dyDescent="0.3">
      <c r="A917" s="50"/>
      <c r="B917" s="50"/>
      <c r="C917" s="50"/>
      <c r="D917" s="50"/>
      <c r="E917" s="50"/>
      <c r="F917" s="50"/>
      <c r="G917" s="50"/>
    </row>
    <row r="918" spans="1:7" ht="15.75" thickBot="1" x14ac:dyDescent="0.3">
      <c r="A918" s="41" t="s">
        <v>39</v>
      </c>
      <c r="B918" s="41" t="s">
        <v>40</v>
      </c>
      <c r="C918" s="41" t="s">
        <v>41</v>
      </c>
      <c r="D918" s="41" t="s">
        <v>42</v>
      </c>
      <c r="E918" s="41" t="s">
        <v>43</v>
      </c>
      <c r="F918" s="41" t="s">
        <v>44</v>
      </c>
      <c r="G918" s="50"/>
    </row>
    <row r="919" spans="1:7" x14ac:dyDescent="0.25">
      <c r="A919" s="42">
        <v>72101516</v>
      </c>
      <c r="B919" s="43" t="str">
        <f ca="1">IFERROR(INDEX(UNSPSCDes,MATCH(INDIRECT(ADDRESS(ROW(),COLUMN()-1,4)),UNSPSCCode,0)),"")</f>
        <v/>
      </c>
      <c r="C919" s="42" t="s">
        <v>46</v>
      </c>
      <c r="D919" s="42">
        <v>2</v>
      </c>
      <c r="E919" s="45">
        <v>2000</v>
      </c>
      <c r="F919" s="46">
        <f ca="1">INDIRECT(ADDRESS(ROW(),COLUMN()-2,4))*INDIRECT(ADDRESS(ROW(),COLUMN()-1,4))</f>
        <v>4000</v>
      </c>
      <c r="G919" s="50"/>
    </row>
    <row r="920" spans="1:7" x14ac:dyDescent="0.25">
      <c r="A920" s="42">
        <v>72101516</v>
      </c>
      <c r="B920" s="43" t="str">
        <f ca="1">IFERROR(INDEX(UNSPSCDes,MATCH(INDIRECT(ADDRESS(ROW(),COLUMN()-1,4)),UNSPSCCode,0)),"")</f>
        <v/>
      </c>
      <c r="C920" s="42" t="s">
        <v>46</v>
      </c>
      <c r="D920" s="42">
        <v>1</v>
      </c>
      <c r="E920" s="45">
        <v>2350</v>
      </c>
      <c r="F920" s="46">
        <f ca="1">INDIRECT(ADDRESS(ROW(),COLUMN()-2,4))*INDIRECT(ADDRESS(ROW(),COLUMN()-1,4))</f>
        <v>2350</v>
      </c>
      <c r="G920" s="50"/>
    </row>
    <row r="921" spans="1:7" x14ac:dyDescent="0.25">
      <c r="A921" s="42">
        <v>72101516</v>
      </c>
      <c r="B921" s="43" t="str">
        <f ca="1">IFERROR(INDEX(UNSPSCDes,MATCH(INDIRECT(ADDRESS(ROW(),COLUMN()-1,4)),UNSPSCCode,0)),"")</f>
        <v/>
      </c>
      <c r="C921" s="42" t="s">
        <v>46</v>
      </c>
      <c r="D921" s="42">
        <v>24</v>
      </c>
      <c r="E921" s="45">
        <v>900</v>
      </c>
      <c r="F921" s="46">
        <f ca="1">INDIRECT(ADDRESS(ROW(),COLUMN()-2,4))*INDIRECT(ADDRESS(ROW(),COLUMN()-1,4))</f>
        <v>21600</v>
      </c>
      <c r="G921" s="50"/>
    </row>
    <row r="922" spans="1:7" x14ac:dyDescent="0.25">
      <c r="A922" s="42">
        <v>72101516</v>
      </c>
      <c r="B922" s="43" t="str">
        <f ca="1">IFERROR(INDEX(UNSPSCDes,MATCH(INDIRECT(ADDRESS(ROW(),COLUMN()-1,4)),UNSPSCCode,0)),"")</f>
        <v/>
      </c>
      <c r="C922" s="42" t="s">
        <v>46</v>
      </c>
      <c r="D922" s="42">
        <v>4</v>
      </c>
      <c r="E922" s="45">
        <v>1400</v>
      </c>
      <c r="F922" s="46">
        <f ca="1">INDIRECT(ADDRESS(ROW(),COLUMN()-2,4))*INDIRECT(ADDRESS(ROW(),COLUMN()-1,4))</f>
        <v>5600</v>
      </c>
      <c r="G922" s="50"/>
    </row>
    <row r="923" spans="1:7" x14ac:dyDescent="0.25">
      <c r="A923" s="42">
        <v>72101516</v>
      </c>
      <c r="B923" s="43" t="str">
        <f ca="1">IFERROR(INDEX(UNSPSCDes,MATCH(INDIRECT(ADDRESS(ROW(),COLUMN()-1,4)),UNSPSCCode,0)),"")</f>
        <v/>
      </c>
      <c r="C923" s="42" t="s">
        <v>46</v>
      </c>
      <c r="D923" s="42">
        <v>11</v>
      </c>
      <c r="E923" s="45">
        <v>1200</v>
      </c>
      <c r="F923" s="46">
        <f ca="1">INDIRECT(ADDRESS(ROW(),COLUMN()-2,4))*INDIRECT(ADDRESS(ROW(),COLUMN()-1,4))</f>
        <v>13200</v>
      </c>
      <c r="G923" s="50"/>
    </row>
    <row r="924" spans="1:7" x14ac:dyDescent="0.25">
      <c r="A924" s="50"/>
      <c r="B924" s="50"/>
      <c r="C924" s="50"/>
      <c r="D924" s="50"/>
      <c r="E924" s="54" t="s">
        <v>49</v>
      </c>
      <c r="F924" s="49">
        <f ca="1">SUM(Table363[MONTO TOTAL ESTIMADO])</f>
        <v>46750</v>
      </c>
      <c r="G924" s="50"/>
    </row>
    <row r="925" spans="1:7" ht="17.25" thickBot="1" x14ac:dyDescent="0.3">
      <c r="A925" s="30"/>
      <c r="B925" s="30"/>
      <c r="C925" s="30"/>
      <c r="D925" s="30"/>
      <c r="E925" s="30"/>
      <c r="F925" s="30"/>
      <c r="G925" s="30"/>
    </row>
    <row r="926" spans="1:7" ht="34.5" thickBot="1" x14ac:dyDescent="0.3">
      <c r="A926" s="31" t="s">
        <v>18</v>
      </c>
      <c r="B926" s="31" t="s">
        <v>19</v>
      </c>
      <c r="C926" s="31" t="s">
        <v>20</v>
      </c>
      <c r="D926" s="31" t="s">
        <v>21</v>
      </c>
      <c r="E926" s="31" t="s">
        <v>22</v>
      </c>
      <c r="F926" s="31" t="s">
        <v>23</v>
      </c>
      <c r="G926" s="50"/>
    </row>
    <row r="927" spans="1:7" ht="15.75" thickBot="1" x14ac:dyDescent="0.3">
      <c r="A927" s="33" t="s">
        <v>80</v>
      </c>
      <c r="B927" s="33" t="s">
        <v>25</v>
      </c>
      <c r="C927" s="33" t="s">
        <v>26</v>
      </c>
      <c r="D927" s="33" t="s">
        <v>27</v>
      </c>
      <c r="E927" s="33" t="s">
        <v>53</v>
      </c>
      <c r="F927" s="33"/>
      <c r="G927" s="50"/>
    </row>
    <row r="928" spans="1:7" ht="15.75" thickBot="1" x14ac:dyDescent="0.3">
      <c r="A928" s="34" t="s">
        <v>28</v>
      </c>
      <c r="B928" s="35" t="s">
        <v>29</v>
      </c>
      <c r="C928" s="51">
        <v>45064</v>
      </c>
      <c r="D928" s="34" t="s">
        <v>30</v>
      </c>
      <c r="E928" s="35" t="s">
        <v>31</v>
      </c>
      <c r="F928" s="33" t="s">
        <v>32</v>
      </c>
      <c r="G928" s="50"/>
    </row>
    <row r="929" spans="1:7" ht="15.75" thickBot="1" x14ac:dyDescent="0.3">
      <c r="A929" s="39"/>
      <c r="B929" s="35" t="s">
        <v>33</v>
      </c>
      <c r="C929" s="52">
        <f>IF(C928="","",IF(AND(MONTH(C928)&gt;=1,MONTH(C928)&lt;=3),1,IF(AND(MONTH(C928)&gt;=4,MONTH(C928)&lt;=6),2,IF(AND(MONTH(C928)&gt;=7,MONTH(C928)&lt;=9),3,4))))</f>
        <v>2</v>
      </c>
      <c r="D929" s="39"/>
      <c r="E929" s="35" t="s">
        <v>34</v>
      </c>
      <c r="F929" s="33" t="s">
        <v>35</v>
      </c>
      <c r="G929" s="50"/>
    </row>
    <row r="930" spans="1:7" ht="15.75" thickBot="1" x14ac:dyDescent="0.3">
      <c r="A930" s="39"/>
      <c r="B930" s="35" t="s">
        <v>36</v>
      </c>
      <c r="C930" s="51">
        <v>45072</v>
      </c>
      <c r="D930" s="39"/>
      <c r="E930" s="35" t="s">
        <v>37</v>
      </c>
      <c r="F930" s="33" t="s">
        <v>35</v>
      </c>
      <c r="G930" s="50"/>
    </row>
    <row r="931" spans="1:7" ht="15.75" thickBot="1" x14ac:dyDescent="0.3">
      <c r="A931" s="39"/>
      <c r="B931" s="35" t="s">
        <v>33</v>
      </c>
      <c r="C931" s="52">
        <f>IF(C930="","",IF(AND(MONTH(C930)&gt;=1,MONTH(C930)&lt;=3),1,IF(AND(MONTH(C930)&gt;=4,MONTH(C930)&lt;=6),2,IF(AND(MONTH(C930)&gt;=7,MONTH(C930)&lt;=9),3,4))))</f>
        <v>2</v>
      </c>
      <c r="D931" s="39"/>
      <c r="E931" s="35" t="s">
        <v>38</v>
      </c>
      <c r="F931" s="33" t="s">
        <v>35</v>
      </c>
      <c r="G931" s="50"/>
    </row>
    <row r="932" spans="1:7" ht="15.75" thickBot="1" x14ac:dyDescent="0.3">
      <c r="A932" s="50"/>
      <c r="B932" s="50"/>
      <c r="C932" s="50"/>
      <c r="D932" s="50"/>
      <c r="E932" s="50"/>
      <c r="F932" s="50"/>
      <c r="G932" s="50"/>
    </row>
    <row r="933" spans="1:7" ht="15.75" thickBot="1" x14ac:dyDescent="0.3">
      <c r="A933" s="41" t="s">
        <v>39</v>
      </c>
      <c r="B933" s="41" t="s">
        <v>40</v>
      </c>
      <c r="C933" s="41" t="s">
        <v>41</v>
      </c>
      <c r="D933" s="41" t="s">
        <v>42</v>
      </c>
      <c r="E933" s="41" t="s">
        <v>43</v>
      </c>
      <c r="F933" s="41" t="s">
        <v>44</v>
      </c>
      <c r="G933" s="50"/>
    </row>
    <row r="934" spans="1:7" ht="33.75" x14ac:dyDescent="0.25">
      <c r="A934" s="42">
        <v>60121104</v>
      </c>
      <c r="B934" s="43" t="str">
        <f ca="1">IFERROR(INDEX(UNSPSCDes,MATCH(INDIRECT(ADDRESS(ROW(),COLUMN()-1,4)),UNSPSCCode,0)),"")</f>
        <v>Papel bond para para dibujo</v>
      </c>
      <c r="C934" s="42" t="s">
        <v>45</v>
      </c>
      <c r="D934" s="42">
        <v>10</v>
      </c>
      <c r="E934" s="45">
        <v>2237.2800000000002</v>
      </c>
      <c r="F934" s="46">
        <f ca="1">INDIRECT(ADDRESS(ROW(),COLUMN()-2,4))*INDIRECT(ADDRESS(ROW(),COLUMN()-1,4))</f>
        <v>22372.800000000003</v>
      </c>
      <c r="G934" s="50"/>
    </row>
    <row r="935" spans="1:7" ht="33.75" x14ac:dyDescent="0.25">
      <c r="A935" s="42">
        <v>44111601</v>
      </c>
      <c r="B935" s="43" t="str">
        <f ca="1">IFERROR(INDEX(UNSPSCDes,MATCH(INDIRECT(ADDRESS(ROW(),COLUMN()-1,4)),UNSPSCCode,0)),"")</f>
        <v>Bolsas para billetes o billeteras</v>
      </c>
      <c r="C935" s="42" t="s">
        <v>46</v>
      </c>
      <c r="D935" s="42">
        <v>220</v>
      </c>
      <c r="E935" s="45">
        <v>1050</v>
      </c>
      <c r="F935" s="46">
        <f ca="1">INDIRECT(ADDRESS(ROW(),COLUMN()-2,4))*INDIRECT(ADDRESS(ROW(),COLUMN()-1,4))</f>
        <v>231000</v>
      </c>
      <c r="G935" s="50"/>
    </row>
    <row r="936" spans="1:7" x14ac:dyDescent="0.25">
      <c r="A936" s="50"/>
      <c r="B936" s="50"/>
      <c r="C936" s="50"/>
      <c r="D936" s="50"/>
      <c r="E936" s="54" t="s">
        <v>49</v>
      </c>
      <c r="F936" s="49">
        <f ca="1">SUM(Table364[MONTO TOTAL ESTIMADO])</f>
        <v>253372.79999999999</v>
      </c>
      <c r="G936" s="50"/>
    </row>
    <row r="937" spans="1:7" ht="17.25" thickBot="1" x14ac:dyDescent="0.3">
      <c r="A937" s="30"/>
      <c r="B937" s="30"/>
      <c r="C937" s="30"/>
      <c r="D937" s="30"/>
      <c r="E937" s="30"/>
      <c r="F937" s="30"/>
      <c r="G937" s="30"/>
    </row>
    <row r="938" spans="1:7" ht="34.5" thickBot="1" x14ac:dyDescent="0.3">
      <c r="A938" s="31" t="s">
        <v>18</v>
      </c>
      <c r="B938" s="31" t="s">
        <v>19</v>
      </c>
      <c r="C938" s="31" t="s">
        <v>20</v>
      </c>
      <c r="D938" s="31" t="s">
        <v>21</v>
      </c>
      <c r="E938" s="31" t="s">
        <v>22</v>
      </c>
      <c r="F938" s="31" t="s">
        <v>23</v>
      </c>
      <c r="G938" s="50"/>
    </row>
    <row r="939" spans="1:7" ht="15.75" thickBot="1" x14ac:dyDescent="0.3">
      <c r="A939" s="33" t="s">
        <v>83</v>
      </c>
      <c r="B939" s="33" t="s">
        <v>84</v>
      </c>
      <c r="C939" s="33" t="s">
        <v>74</v>
      </c>
      <c r="D939" s="33" t="s">
        <v>27</v>
      </c>
      <c r="E939" s="33" t="s">
        <v>62</v>
      </c>
      <c r="F939" s="33"/>
      <c r="G939" s="50"/>
    </row>
    <row r="940" spans="1:7" ht="15.75" thickBot="1" x14ac:dyDescent="0.3">
      <c r="A940" s="34" t="s">
        <v>28</v>
      </c>
      <c r="B940" s="35" t="s">
        <v>29</v>
      </c>
      <c r="C940" s="51">
        <v>45048</v>
      </c>
      <c r="D940" s="34" t="s">
        <v>30</v>
      </c>
      <c r="E940" s="35" t="s">
        <v>31</v>
      </c>
      <c r="F940" s="33" t="s">
        <v>32</v>
      </c>
      <c r="G940" s="50"/>
    </row>
    <row r="941" spans="1:7" ht="15.75" thickBot="1" x14ac:dyDescent="0.3">
      <c r="A941" s="39"/>
      <c r="B941" s="35" t="s">
        <v>33</v>
      </c>
      <c r="C941" s="52">
        <f>IF(C940="","",IF(AND(MONTH(C940)&gt;=1,MONTH(C940)&lt;=3),1,IF(AND(MONTH(C940)&gt;=4,MONTH(C940)&lt;=6),2,IF(AND(MONTH(C940)&gt;=7,MONTH(C940)&lt;=9),3,4))))</f>
        <v>2</v>
      </c>
      <c r="D941" s="39"/>
      <c r="E941" s="35" t="s">
        <v>34</v>
      </c>
      <c r="F941" s="33" t="s">
        <v>35</v>
      </c>
      <c r="G941" s="50"/>
    </row>
    <row r="942" spans="1:7" ht="15.75" thickBot="1" x14ac:dyDescent="0.3">
      <c r="A942" s="39"/>
      <c r="B942" s="35" t="s">
        <v>36</v>
      </c>
      <c r="C942" s="51">
        <v>45057</v>
      </c>
      <c r="D942" s="39"/>
      <c r="E942" s="35" t="s">
        <v>37</v>
      </c>
      <c r="F942" s="33" t="s">
        <v>35</v>
      </c>
      <c r="G942" s="50"/>
    </row>
    <row r="943" spans="1:7" ht="15.75" thickBot="1" x14ac:dyDescent="0.3">
      <c r="A943" s="39"/>
      <c r="B943" s="35" t="s">
        <v>33</v>
      </c>
      <c r="C943" s="52">
        <f>IF(C942="","",IF(AND(MONTH(C942)&gt;=1,MONTH(C942)&lt;=3),1,IF(AND(MONTH(C942)&gt;=4,MONTH(C942)&lt;=6),2,IF(AND(MONTH(C942)&gt;=7,MONTH(C942)&lt;=9),3,4))))</f>
        <v>2</v>
      </c>
      <c r="D943" s="39"/>
      <c r="E943" s="35" t="s">
        <v>38</v>
      </c>
      <c r="F943" s="33" t="s">
        <v>35</v>
      </c>
      <c r="G943" s="50"/>
    </row>
    <row r="944" spans="1:7" ht="15.75" thickBot="1" x14ac:dyDescent="0.3">
      <c r="A944" s="50"/>
      <c r="B944" s="50"/>
      <c r="C944" s="50"/>
      <c r="D944" s="50"/>
      <c r="E944" s="50"/>
      <c r="F944" s="50"/>
      <c r="G944" s="50"/>
    </row>
    <row r="945" spans="1:7" ht="15.75" thickBot="1" x14ac:dyDescent="0.3">
      <c r="A945" s="41" t="s">
        <v>39</v>
      </c>
      <c r="B945" s="41" t="s">
        <v>40</v>
      </c>
      <c r="C945" s="41" t="s">
        <v>41</v>
      </c>
      <c r="D945" s="41" t="s">
        <v>42</v>
      </c>
      <c r="E945" s="41" t="s">
        <v>43</v>
      </c>
      <c r="F945" s="41" t="s">
        <v>44</v>
      </c>
      <c r="G945" s="50"/>
    </row>
    <row r="946" spans="1:7" ht="22.5" x14ac:dyDescent="0.25">
      <c r="A946" s="42">
        <v>82121503</v>
      </c>
      <c r="B946" s="43" t="str">
        <f ca="1">IFERROR(INDEX(UNSPSCDes,MATCH(INDIRECT(ADDRESS(ROW(),COLUMN()-1,4)),UNSPSCCode,0)),"")</f>
        <v>Impresión digital</v>
      </c>
      <c r="C946" s="42" t="s">
        <v>46</v>
      </c>
      <c r="D946" s="42">
        <v>6</v>
      </c>
      <c r="E946" s="45">
        <v>1200</v>
      </c>
      <c r="F946" s="46">
        <f ca="1">INDIRECT(ADDRESS(ROW(),COLUMN()-2,4))*INDIRECT(ADDRESS(ROW(),COLUMN()-1,4))</f>
        <v>7200</v>
      </c>
      <c r="G946" s="50"/>
    </row>
    <row r="947" spans="1:7" ht="22.5" x14ac:dyDescent="0.25">
      <c r="A947" s="42">
        <v>82121503</v>
      </c>
      <c r="B947" s="43" t="str">
        <f ca="1">IFERROR(INDEX(UNSPSCDes,MATCH(INDIRECT(ADDRESS(ROW(),COLUMN()-1,4)),UNSPSCCode,0)),"")</f>
        <v>Impresión digital</v>
      </c>
      <c r="C947" s="42" t="s">
        <v>46</v>
      </c>
      <c r="D947" s="42">
        <v>500</v>
      </c>
      <c r="E947" s="45">
        <v>45</v>
      </c>
      <c r="F947" s="46">
        <f ca="1">INDIRECT(ADDRESS(ROW(),COLUMN()-2,4))*INDIRECT(ADDRESS(ROW(),COLUMN()-1,4))</f>
        <v>22500</v>
      </c>
      <c r="G947" s="50"/>
    </row>
    <row r="948" spans="1:7" ht="22.5" x14ac:dyDescent="0.25">
      <c r="A948" s="42">
        <v>82121503</v>
      </c>
      <c r="B948" s="43" t="str">
        <f ca="1">IFERROR(INDEX(UNSPSCDes,MATCH(INDIRECT(ADDRESS(ROW(),COLUMN()-1,4)),UNSPSCCode,0)),"")</f>
        <v>Impresión digital</v>
      </c>
      <c r="C948" s="42" t="s">
        <v>46</v>
      </c>
      <c r="D948" s="42">
        <v>1</v>
      </c>
      <c r="E948" s="45">
        <v>200000</v>
      </c>
      <c r="F948" s="46">
        <f ca="1">INDIRECT(ADDRESS(ROW(),COLUMN()-2,4))*INDIRECT(ADDRESS(ROW(),COLUMN()-1,4))</f>
        <v>200000</v>
      </c>
      <c r="G948" s="50"/>
    </row>
    <row r="949" spans="1:7" ht="33.75" x14ac:dyDescent="0.25">
      <c r="A949" s="42">
        <v>80121704</v>
      </c>
      <c r="B949" s="43" t="str">
        <f ca="1">IFERROR(INDEX(UNSPSCDes,MATCH(INDIRECT(ADDRESS(ROW(),COLUMN()-1,4)),UNSPSCCode,0)),"")</f>
        <v>Servicios legales sobre contratos</v>
      </c>
      <c r="C949" s="42" t="s">
        <v>46</v>
      </c>
      <c r="D949" s="42">
        <v>10</v>
      </c>
      <c r="E949" s="45">
        <v>5000</v>
      </c>
      <c r="F949" s="46">
        <f ca="1">INDIRECT(ADDRESS(ROW(),COLUMN()-2,4))*INDIRECT(ADDRESS(ROW(),COLUMN()-1,4))</f>
        <v>50000</v>
      </c>
      <c r="G949" s="50"/>
    </row>
    <row r="950" spans="1:7" x14ac:dyDescent="0.25">
      <c r="A950" s="50"/>
      <c r="B950" s="50"/>
      <c r="C950" s="50"/>
      <c r="D950" s="50"/>
      <c r="E950" s="54" t="s">
        <v>49</v>
      </c>
      <c r="F950" s="49">
        <f ca="1">SUM(Table365[MONTO TOTAL ESTIMADO])</f>
        <v>279700</v>
      </c>
      <c r="G950" s="50"/>
    </row>
    <row r="951" spans="1:7" ht="17.25" thickBot="1" x14ac:dyDescent="0.3">
      <c r="A951" s="30"/>
      <c r="B951" s="30"/>
      <c r="C951" s="30"/>
      <c r="D951" s="30"/>
      <c r="E951" s="30"/>
      <c r="F951" s="30"/>
      <c r="G951" s="30"/>
    </row>
    <row r="952" spans="1:7" ht="34.5" thickBot="1" x14ac:dyDescent="0.3">
      <c r="A952" s="31" t="s">
        <v>18</v>
      </c>
      <c r="B952" s="31" t="s">
        <v>19</v>
      </c>
      <c r="C952" s="31" t="s">
        <v>20</v>
      </c>
      <c r="D952" s="31" t="s">
        <v>21</v>
      </c>
      <c r="E952" s="31" t="s">
        <v>22</v>
      </c>
      <c r="F952" s="31" t="s">
        <v>23</v>
      </c>
      <c r="G952" s="50"/>
    </row>
    <row r="953" spans="1:7" ht="15.75" thickBot="1" x14ac:dyDescent="0.3">
      <c r="A953" s="33" t="s">
        <v>89</v>
      </c>
      <c r="B953" s="33" t="s">
        <v>90</v>
      </c>
      <c r="C953" s="33" t="s">
        <v>74</v>
      </c>
      <c r="D953" s="33" t="s">
        <v>52</v>
      </c>
      <c r="E953" s="33" t="s">
        <v>53</v>
      </c>
      <c r="F953" s="33"/>
      <c r="G953" s="50"/>
    </row>
    <row r="954" spans="1:7" ht="15.75" thickBot="1" x14ac:dyDescent="0.3">
      <c r="A954" s="34" t="s">
        <v>28</v>
      </c>
      <c r="B954" s="35" t="s">
        <v>29</v>
      </c>
      <c r="C954" s="51">
        <v>45054</v>
      </c>
      <c r="D954" s="34" t="s">
        <v>30</v>
      </c>
      <c r="E954" s="35" t="s">
        <v>31</v>
      </c>
      <c r="F954" s="33" t="s">
        <v>32</v>
      </c>
      <c r="G954" s="50"/>
    </row>
    <row r="955" spans="1:7" ht="15.75" thickBot="1" x14ac:dyDescent="0.3">
      <c r="A955" s="39"/>
      <c r="B955" s="35" t="s">
        <v>33</v>
      </c>
      <c r="C955" s="52">
        <f>IF(C954="","",IF(AND(MONTH(C954)&gt;=1,MONTH(C954)&lt;=3),1,IF(AND(MONTH(C954)&gt;=4,MONTH(C954)&lt;=6),2,IF(AND(MONTH(C954)&gt;=7,MONTH(C954)&lt;=9),3,4))))</f>
        <v>2</v>
      </c>
      <c r="D955" s="39"/>
      <c r="E955" s="35" t="s">
        <v>34</v>
      </c>
      <c r="F955" s="33" t="s">
        <v>35</v>
      </c>
      <c r="G955" s="50"/>
    </row>
    <row r="956" spans="1:7" ht="15.75" thickBot="1" x14ac:dyDescent="0.3">
      <c r="A956" s="39"/>
      <c r="B956" s="35" t="s">
        <v>36</v>
      </c>
      <c r="C956" s="51">
        <v>45062</v>
      </c>
      <c r="D956" s="39"/>
      <c r="E956" s="35" t="s">
        <v>37</v>
      </c>
      <c r="F956" s="33" t="s">
        <v>35</v>
      </c>
      <c r="G956" s="50"/>
    </row>
    <row r="957" spans="1:7" ht="15.75" thickBot="1" x14ac:dyDescent="0.3">
      <c r="A957" s="39"/>
      <c r="B957" s="35" t="s">
        <v>33</v>
      </c>
      <c r="C957" s="52">
        <f>IF(C956="","",IF(AND(MONTH(C956)&gt;=1,MONTH(C956)&lt;=3),1,IF(AND(MONTH(C956)&gt;=4,MONTH(C956)&lt;=6),2,IF(AND(MONTH(C956)&gt;=7,MONTH(C956)&lt;=9),3,4))))</f>
        <v>2</v>
      </c>
      <c r="D957" s="39"/>
      <c r="E957" s="35" t="s">
        <v>38</v>
      </c>
      <c r="F957" s="33" t="s">
        <v>35</v>
      </c>
      <c r="G957" s="50"/>
    </row>
    <row r="958" spans="1:7" ht="15.75" thickBot="1" x14ac:dyDescent="0.3">
      <c r="A958" s="50"/>
      <c r="B958" s="50"/>
      <c r="C958" s="50"/>
      <c r="D958" s="50"/>
      <c r="E958" s="50"/>
      <c r="F958" s="50"/>
      <c r="G958" s="50"/>
    </row>
    <row r="959" spans="1:7" ht="15.75" thickBot="1" x14ac:dyDescent="0.3">
      <c r="A959" s="41" t="s">
        <v>39</v>
      </c>
      <c r="B959" s="41" t="s">
        <v>40</v>
      </c>
      <c r="C959" s="41" t="s">
        <v>41</v>
      </c>
      <c r="D959" s="41" t="s">
        <v>42</v>
      </c>
      <c r="E959" s="41" t="s">
        <v>43</v>
      </c>
      <c r="F959" s="41" t="s">
        <v>44</v>
      </c>
      <c r="G959" s="50"/>
    </row>
    <row r="960" spans="1:7" ht="33.75" x14ac:dyDescent="0.25">
      <c r="A960" s="42">
        <v>50192701</v>
      </c>
      <c r="B960" s="43" t="str">
        <f ca="1">IFERROR(INDEX(UNSPSCDes,MATCH(INDIRECT(ADDRESS(ROW(),COLUMN()-1,4)),UNSPSCCode,0)),"")</f>
        <v>Comidas combinadas frescas</v>
      </c>
      <c r="C960" s="42" t="s">
        <v>46</v>
      </c>
      <c r="D960" s="42">
        <v>50</v>
      </c>
      <c r="E960" s="45">
        <v>275</v>
      </c>
      <c r="F960" s="46">
        <f ca="1">INDIRECT(ADDRESS(ROW(),COLUMN()-2,4))*INDIRECT(ADDRESS(ROW(),COLUMN()-1,4))</f>
        <v>13750</v>
      </c>
      <c r="G960" s="50"/>
    </row>
    <row r="961" spans="1:7" x14ac:dyDescent="0.25">
      <c r="A961" s="50"/>
      <c r="B961" s="50"/>
      <c r="C961" s="50"/>
      <c r="D961" s="50"/>
      <c r="E961" s="54" t="s">
        <v>49</v>
      </c>
      <c r="F961" s="49">
        <f ca="1">SUM(Table366[MONTO TOTAL ESTIMADO])</f>
        <v>13750</v>
      </c>
      <c r="G961" s="50"/>
    </row>
    <row r="962" spans="1:7" ht="17.25" thickBot="1" x14ac:dyDescent="0.3">
      <c r="A962" s="30"/>
      <c r="B962" s="30"/>
      <c r="C962" s="30"/>
      <c r="D962" s="30"/>
      <c r="E962" s="30"/>
      <c r="F962" s="30"/>
      <c r="G962" s="30"/>
    </row>
    <row r="963" spans="1:7" ht="34.5" thickBot="1" x14ac:dyDescent="0.3">
      <c r="A963" s="31" t="s">
        <v>18</v>
      </c>
      <c r="B963" s="31" t="s">
        <v>19</v>
      </c>
      <c r="C963" s="31" t="s">
        <v>20</v>
      </c>
      <c r="D963" s="31" t="s">
        <v>21</v>
      </c>
      <c r="E963" s="31" t="s">
        <v>22</v>
      </c>
      <c r="F963" s="31" t="s">
        <v>23</v>
      </c>
      <c r="G963" s="50"/>
    </row>
    <row r="964" spans="1:7" ht="15.75" thickBot="1" x14ac:dyDescent="0.3">
      <c r="A964" s="33" t="s">
        <v>69</v>
      </c>
      <c r="B964" s="33" t="s">
        <v>70</v>
      </c>
      <c r="C964" s="33" t="s">
        <v>26</v>
      </c>
      <c r="D964" s="33" t="s">
        <v>52</v>
      </c>
      <c r="E964" s="33" t="s">
        <v>53</v>
      </c>
      <c r="F964" s="33"/>
      <c r="G964" s="50"/>
    </row>
    <row r="965" spans="1:7" ht="15.75" thickBot="1" x14ac:dyDescent="0.3">
      <c r="A965" s="34" t="s">
        <v>28</v>
      </c>
      <c r="B965" s="35" t="s">
        <v>29</v>
      </c>
      <c r="C965" s="51">
        <v>45050</v>
      </c>
      <c r="D965" s="34" t="s">
        <v>30</v>
      </c>
      <c r="E965" s="35" t="s">
        <v>31</v>
      </c>
      <c r="F965" s="33" t="s">
        <v>32</v>
      </c>
      <c r="G965" s="50"/>
    </row>
    <row r="966" spans="1:7" ht="15.75" thickBot="1" x14ac:dyDescent="0.3">
      <c r="A966" s="39"/>
      <c r="B966" s="35" t="s">
        <v>33</v>
      </c>
      <c r="C966" s="52">
        <f>IF(C965="","",IF(AND(MONTH(C965)&gt;=1,MONTH(C965)&lt;=3),1,IF(AND(MONTH(C965)&gt;=4,MONTH(C965)&lt;=6),2,IF(AND(MONTH(C965)&gt;=7,MONTH(C965)&lt;=9),3,4))))</f>
        <v>2</v>
      </c>
      <c r="D966" s="39"/>
      <c r="E966" s="35" t="s">
        <v>34</v>
      </c>
      <c r="F966" s="33" t="s">
        <v>35</v>
      </c>
      <c r="G966" s="50"/>
    </row>
    <row r="967" spans="1:7" ht="15.75" thickBot="1" x14ac:dyDescent="0.3">
      <c r="A967" s="39"/>
      <c r="B967" s="35" t="s">
        <v>36</v>
      </c>
      <c r="C967" s="51">
        <v>45059</v>
      </c>
      <c r="D967" s="39"/>
      <c r="E967" s="35" t="s">
        <v>37</v>
      </c>
      <c r="F967" s="33" t="s">
        <v>35</v>
      </c>
      <c r="G967" s="50"/>
    </row>
    <row r="968" spans="1:7" ht="15.75" thickBot="1" x14ac:dyDescent="0.3">
      <c r="A968" s="39"/>
      <c r="B968" s="35" t="s">
        <v>33</v>
      </c>
      <c r="C968" s="52">
        <f>IF(C967="","",IF(AND(MONTH(C967)&gt;=1,MONTH(C967)&lt;=3),1,IF(AND(MONTH(C967)&gt;=4,MONTH(C967)&lt;=6),2,IF(AND(MONTH(C967)&gt;=7,MONTH(C967)&lt;=9),3,4))))</f>
        <v>2</v>
      </c>
      <c r="D968" s="39"/>
      <c r="E968" s="35" t="s">
        <v>38</v>
      </c>
      <c r="F968" s="33" t="s">
        <v>35</v>
      </c>
      <c r="G968" s="50"/>
    </row>
    <row r="969" spans="1:7" ht="15.75" thickBot="1" x14ac:dyDescent="0.3">
      <c r="A969" s="50"/>
      <c r="B969" s="50"/>
      <c r="C969" s="50"/>
      <c r="D969" s="50"/>
      <c r="E969" s="50"/>
      <c r="F969" s="50"/>
      <c r="G969" s="50"/>
    </row>
    <row r="970" spans="1:7" ht="15.75" thickBot="1" x14ac:dyDescent="0.3">
      <c r="A970" s="41" t="s">
        <v>39</v>
      </c>
      <c r="B970" s="41" t="s">
        <v>40</v>
      </c>
      <c r="C970" s="41" t="s">
        <v>41</v>
      </c>
      <c r="D970" s="41" t="s">
        <v>42</v>
      </c>
      <c r="E970" s="41" t="s">
        <v>43</v>
      </c>
      <c r="F970" s="41" t="s">
        <v>44</v>
      </c>
      <c r="G970" s="50"/>
    </row>
    <row r="971" spans="1:7" ht="33.75" x14ac:dyDescent="0.25">
      <c r="A971" s="42">
        <v>72101901</v>
      </c>
      <c r="B971" s="43" t="str">
        <f ca="1">IFERROR(INDEX(UNSPSCDes,MATCH(INDIRECT(ADDRESS(ROW(),COLUMN()-1,4)),UNSPSCCode,0)),"")</f>
        <v>Diseño o decoración de interiores</v>
      </c>
      <c r="C971" s="42" t="s">
        <v>46</v>
      </c>
      <c r="D971" s="42">
        <v>1</v>
      </c>
      <c r="E971" s="45">
        <v>10000</v>
      </c>
      <c r="F971" s="46">
        <f ca="1">INDIRECT(ADDRESS(ROW(),COLUMN()-2,4))*INDIRECT(ADDRESS(ROW(),COLUMN()-1,4))</f>
        <v>10000</v>
      </c>
      <c r="G971" s="50"/>
    </row>
    <row r="972" spans="1:7" x14ac:dyDescent="0.25">
      <c r="A972" s="50"/>
      <c r="B972" s="50"/>
      <c r="C972" s="50"/>
      <c r="D972" s="50"/>
      <c r="E972" s="54" t="s">
        <v>49</v>
      </c>
      <c r="F972" s="49">
        <f ca="1">SUM(Table367[MONTO TOTAL ESTIMADO])</f>
        <v>10000</v>
      </c>
      <c r="G972" s="50"/>
    </row>
    <row r="973" spans="1:7" ht="17.25" thickBot="1" x14ac:dyDescent="0.3">
      <c r="A973" s="30"/>
      <c r="B973" s="30"/>
      <c r="C973" s="30"/>
      <c r="D973" s="30"/>
      <c r="E973" s="30"/>
      <c r="F973" s="30"/>
      <c r="G973" s="30"/>
    </row>
    <row r="974" spans="1:7" ht="34.5" thickBot="1" x14ac:dyDescent="0.3">
      <c r="A974" s="31" t="s">
        <v>18</v>
      </c>
      <c r="B974" s="31" t="s">
        <v>19</v>
      </c>
      <c r="C974" s="31" t="s">
        <v>20</v>
      </c>
      <c r="D974" s="31" t="s">
        <v>21</v>
      </c>
      <c r="E974" s="31" t="s">
        <v>22</v>
      </c>
      <c r="F974" s="31" t="s">
        <v>23</v>
      </c>
      <c r="G974" s="50"/>
    </row>
    <row r="975" spans="1:7" ht="15.75" thickBot="1" x14ac:dyDescent="0.3">
      <c r="A975" s="33" t="s">
        <v>50</v>
      </c>
      <c r="B975" s="33" t="s">
        <v>95</v>
      </c>
      <c r="C975" s="33" t="s">
        <v>26</v>
      </c>
      <c r="D975" s="33" t="s">
        <v>52</v>
      </c>
      <c r="E975" s="33" t="s">
        <v>62</v>
      </c>
      <c r="F975" s="33"/>
      <c r="G975" s="50"/>
    </row>
    <row r="976" spans="1:7" ht="15.75" thickBot="1" x14ac:dyDescent="0.3">
      <c r="A976" s="34" t="s">
        <v>28</v>
      </c>
      <c r="B976" s="35" t="s">
        <v>29</v>
      </c>
      <c r="C976" s="51">
        <v>45061</v>
      </c>
      <c r="D976" s="34" t="s">
        <v>30</v>
      </c>
      <c r="E976" s="35" t="s">
        <v>31</v>
      </c>
      <c r="F976" s="33" t="s">
        <v>32</v>
      </c>
      <c r="G976" s="50"/>
    </row>
    <row r="977" spans="1:7" ht="15.75" thickBot="1" x14ac:dyDescent="0.3">
      <c r="A977" s="39"/>
      <c r="B977" s="35" t="s">
        <v>33</v>
      </c>
      <c r="C977" s="52">
        <f>IF(C976="","",IF(AND(MONTH(C976)&gt;=1,MONTH(C976)&lt;=3),1,IF(AND(MONTH(C976)&gt;=4,MONTH(C976)&lt;=6),2,IF(AND(MONTH(C976)&gt;=7,MONTH(C976)&lt;=9),3,4))))</f>
        <v>2</v>
      </c>
      <c r="D977" s="39"/>
      <c r="E977" s="35" t="s">
        <v>34</v>
      </c>
      <c r="F977" s="33" t="s">
        <v>35</v>
      </c>
      <c r="G977" s="50"/>
    </row>
    <row r="978" spans="1:7" ht="15.75" thickBot="1" x14ac:dyDescent="0.3">
      <c r="A978" s="39"/>
      <c r="B978" s="35" t="s">
        <v>36</v>
      </c>
      <c r="C978" s="51">
        <v>45069</v>
      </c>
      <c r="D978" s="39"/>
      <c r="E978" s="35" t="s">
        <v>37</v>
      </c>
      <c r="F978" s="33" t="s">
        <v>35</v>
      </c>
      <c r="G978" s="50"/>
    </row>
    <row r="979" spans="1:7" ht="15.75" thickBot="1" x14ac:dyDescent="0.3">
      <c r="A979" s="39"/>
      <c r="B979" s="35" t="s">
        <v>33</v>
      </c>
      <c r="C979" s="52">
        <f>IF(C978="","",IF(AND(MONTH(C978)&gt;=1,MONTH(C978)&lt;=3),1,IF(AND(MONTH(C978)&gt;=4,MONTH(C978)&lt;=6),2,IF(AND(MONTH(C978)&gt;=7,MONTH(C978)&lt;=9),3,4))))</f>
        <v>2</v>
      </c>
      <c r="D979" s="39"/>
      <c r="E979" s="35" t="s">
        <v>38</v>
      </c>
      <c r="F979" s="33" t="s">
        <v>35</v>
      </c>
      <c r="G979" s="50"/>
    </row>
    <row r="980" spans="1:7" ht="15.75" thickBot="1" x14ac:dyDescent="0.3">
      <c r="A980" s="50"/>
      <c r="B980" s="50"/>
      <c r="C980" s="50"/>
      <c r="D980" s="50"/>
      <c r="E980" s="50"/>
      <c r="F980" s="50"/>
      <c r="G980" s="50"/>
    </row>
    <row r="981" spans="1:7" ht="15.75" thickBot="1" x14ac:dyDescent="0.3">
      <c r="A981" s="41" t="s">
        <v>39</v>
      </c>
      <c r="B981" s="41" t="s">
        <v>40</v>
      </c>
      <c r="C981" s="41" t="s">
        <v>41</v>
      </c>
      <c r="D981" s="41" t="s">
        <v>42</v>
      </c>
      <c r="E981" s="41" t="s">
        <v>43</v>
      </c>
      <c r="F981" s="41" t="s">
        <v>44</v>
      </c>
      <c r="G981" s="50"/>
    </row>
    <row r="982" spans="1:7" x14ac:dyDescent="0.25">
      <c r="A982" s="42">
        <v>50201711</v>
      </c>
      <c r="B982" s="43" t="str">
        <f ca="1">IFERROR(INDEX(UNSPSCDes,MATCH(INDIRECT(ADDRESS(ROW(),COLUMN()-1,4)),UNSPSCCode,0)),"")</f>
        <v>Té instantáneo</v>
      </c>
      <c r="C982" s="42" t="s">
        <v>46</v>
      </c>
      <c r="D982" s="42">
        <v>2</v>
      </c>
      <c r="E982" s="45">
        <v>300</v>
      </c>
      <c r="F982" s="46">
        <f ca="1">INDIRECT(ADDRESS(ROW(),COLUMN()-2,4))*INDIRECT(ADDRESS(ROW(),COLUMN()-1,4))</f>
        <v>600</v>
      </c>
      <c r="G982" s="50"/>
    </row>
    <row r="983" spans="1:7" x14ac:dyDescent="0.25">
      <c r="A983" s="50"/>
      <c r="B983" s="50"/>
      <c r="C983" s="50"/>
      <c r="D983" s="50"/>
      <c r="E983" s="54" t="s">
        <v>49</v>
      </c>
      <c r="F983" s="49">
        <f ca="1">SUM(Table368[MONTO TOTAL ESTIMADO])</f>
        <v>600</v>
      </c>
      <c r="G983" s="50"/>
    </row>
    <row r="984" spans="1:7" ht="17.25" thickBot="1" x14ac:dyDescent="0.3">
      <c r="A984" s="30"/>
      <c r="B984" s="30"/>
      <c r="C984" s="30"/>
      <c r="D984" s="30"/>
      <c r="E984" s="30"/>
      <c r="F984" s="30"/>
      <c r="G984" s="30"/>
    </row>
    <row r="985" spans="1:7" ht="34.5" thickBot="1" x14ac:dyDescent="0.3">
      <c r="A985" s="31" t="s">
        <v>18</v>
      </c>
      <c r="B985" s="31" t="s">
        <v>19</v>
      </c>
      <c r="C985" s="31" t="s">
        <v>20</v>
      </c>
      <c r="D985" s="31" t="s">
        <v>21</v>
      </c>
      <c r="E985" s="31" t="s">
        <v>22</v>
      </c>
      <c r="F985" s="31" t="s">
        <v>23</v>
      </c>
      <c r="G985" s="50"/>
    </row>
    <row r="986" spans="1:7" ht="15.75" thickBot="1" x14ac:dyDescent="0.3">
      <c r="A986" s="33" t="s">
        <v>109</v>
      </c>
      <c r="B986" s="33" t="s">
        <v>110</v>
      </c>
      <c r="C986" s="33" t="s">
        <v>26</v>
      </c>
      <c r="D986" s="33" t="s">
        <v>27</v>
      </c>
      <c r="E986" s="33" t="s">
        <v>53</v>
      </c>
      <c r="F986" s="33"/>
      <c r="G986" s="50"/>
    </row>
    <row r="987" spans="1:7" ht="15.75" thickBot="1" x14ac:dyDescent="0.3">
      <c r="A987" s="34" t="s">
        <v>28</v>
      </c>
      <c r="B987" s="35" t="s">
        <v>29</v>
      </c>
      <c r="C987" s="51">
        <v>45063</v>
      </c>
      <c r="D987" s="34" t="s">
        <v>30</v>
      </c>
      <c r="E987" s="35" t="s">
        <v>31</v>
      </c>
      <c r="F987" s="33" t="s">
        <v>32</v>
      </c>
      <c r="G987" s="50"/>
    </row>
    <row r="988" spans="1:7" ht="15.75" thickBot="1" x14ac:dyDescent="0.3">
      <c r="A988" s="39"/>
      <c r="B988" s="35" t="s">
        <v>33</v>
      </c>
      <c r="C988" s="52">
        <f>IF(C987="","",IF(AND(MONTH(C987)&gt;=1,MONTH(C987)&lt;=3),1,IF(AND(MONTH(C987)&gt;=4,MONTH(C987)&lt;=6),2,IF(AND(MONTH(C987)&gt;=7,MONTH(C987)&lt;=9),3,4))))</f>
        <v>2</v>
      </c>
      <c r="D988" s="39"/>
      <c r="E988" s="35" t="s">
        <v>34</v>
      </c>
      <c r="F988" s="33" t="s">
        <v>35</v>
      </c>
      <c r="G988" s="50"/>
    </row>
    <row r="989" spans="1:7" ht="15.75" thickBot="1" x14ac:dyDescent="0.3">
      <c r="A989" s="39"/>
      <c r="B989" s="35" t="s">
        <v>36</v>
      </c>
      <c r="C989" s="51">
        <v>45072</v>
      </c>
      <c r="D989" s="39"/>
      <c r="E989" s="35" t="s">
        <v>37</v>
      </c>
      <c r="F989" s="33" t="s">
        <v>35</v>
      </c>
      <c r="G989" s="50"/>
    </row>
    <row r="990" spans="1:7" ht="15.75" thickBot="1" x14ac:dyDescent="0.3">
      <c r="A990" s="39"/>
      <c r="B990" s="35" t="s">
        <v>33</v>
      </c>
      <c r="C990" s="52">
        <f>IF(C989="","",IF(AND(MONTH(C989)&gt;=1,MONTH(C989)&lt;=3),1,IF(AND(MONTH(C989)&gt;=4,MONTH(C989)&lt;=6),2,IF(AND(MONTH(C989)&gt;=7,MONTH(C989)&lt;=9),3,4))))</f>
        <v>2</v>
      </c>
      <c r="D990" s="39"/>
      <c r="E990" s="35" t="s">
        <v>38</v>
      </c>
      <c r="F990" s="33" t="s">
        <v>35</v>
      </c>
      <c r="G990" s="50"/>
    </row>
    <row r="991" spans="1:7" ht="15.75" thickBot="1" x14ac:dyDescent="0.3">
      <c r="A991" s="50"/>
      <c r="B991" s="50"/>
      <c r="C991" s="50"/>
      <c r="D991" s="50"/>
      <c r="E991" s="50"/>
      <c r="F991" s="50"/>
      <c r="G991" s="50"/>
    </row>
    <row r="992" spans="1:7" ht="15.75" thickBot="1" x14ac:dyDescent="0.3">
      <c r="A992" s="41" t="s">
        <v>39</v>
      </c>
      <c r="B992" s="41" t="s">
        <v>40</v>
      </c>
      <c r="C992" s="41" t="s">
        <v>41</v>
      </c>
      <c r="D992" s="41" t="s">
        <v>42</v>
      </c>
      <c r="E992" s="41" t="s">
        <v>43</v>
      </c>
      <c r="F992" s="41" t="s">
        <v>44</v>
      </c>
      <c r="G992" s="50"/>
    </row>
    <row r="993" spans="1:7" ht="33.75" x14ac:dyDescent="0.25">
      <c r="A993" s="42">
        <v>43201402</v>
      </c>
      <c r="B993" s="43" t="str">
        <f ca="1">IFERROR(INDEX(UNSPSCDes,MATCH(INDIRECT(ADDRESS(ROW(),COLUMN()-1,4)),UNSPSCCode,0)),"")</f>
        <v>Tarjetas de módulos de memoria</v>
      </c>
      <c r="C993" s="42" t="s">
        <v>46</v>
      </c>
      <c r="D993" s="42">
        <v>1</v>
      </c>
      <c r="E993" s="45">
        <v>300000</v>
      </c>
      <c r="F993" s="46">
        <f ca="1">INDIRECT(ADDRESS(ROW(),COLUMN()-2,4))*INDIRECT(ADDRESS(ROW(),COLUMN()-1,4))</f>
        <v>300000</v>
      </c>
      <c r="G993" s="50"/>
    </row>
    <row r="994" spans="1:7" x14ac:dyDescent="0.25">
      <c r="A994" s="50"/>
      <c r="B994" s="50"/>
      <c r="C994" s="50"/>
      <c r="D994" s="50"/>
      <c r="E994" s="54" t="s">
        <v>49</v>
      </c>
      <c r="F994" s="49">
        <f ca="1">SUM(Table369[MONTO TOTAL ESTIMADO])</f>
        <v>300000</v>
      </c>
      <c r="G994" s="50"/>
    </row>
    <row r="995" spans="1:7" ht="17.25" thickBot="1" x14ac:dyDescent="0.3">
      <c r="A995" s="30"/>
      <c r="B995" s="30"/>
      <c r="C995" s="30"/>
      <c r="D995" s="30"/>
      <c r="E995" s="30"/>
      <c r="F995" s="30"/>
      <c r="G995" s="30"/>
    </row>
    <row r="996" spans="1:7" ht="34.5" thickBot="1" x14ac:dyDescent="0.3">
      <c r="A996" s="31" t="s">
        <v>18</v>
      </c>
      <c r="B996" s="31" t="s">
        <v>19</v>
      </c>
      <c r="C996" s="31" t="s">
        <v>20</v>
      </c>
      <c r="D996" s="31" t="s">
        <v>21</v>
      </c>
      <c r="E996" s="31" t="s">
        <v>22</v>
      </c>
      <c r="F996" s="31" t="s">
        <v>23</v>
      </c>
      <c r="G996" s="50"/>
    </row>
    <row r="997" spans="1:7" ht="15.75" thickBot="1" x14ac:dyDescent="0.3">
      <c r="A997" s="33" t="s">
        <v>111</v>
      </c>
      <c r="B997" s="33" t="s">
        <v>112</v>
      </c>
      <c r="C997" s="33" t="s">
        <v>74</v>
      </c>
      <c r="D997" s="33" t="s">
        <v>52</v>
      </c>
      <c r="E997" s="33" t="s">
        <v>53</v>
      </c>
      <c r="F997" s="33"/>
      <c r="G997" s="50"/>
    </row>
    <row r="998" spans="1:7" ht="15.75" thickBot="1" x14ac:dyDescent="0.3">
      <c r="A998" s="34" t="s">
        <v>28</v>
      </c>
      <c r="B998" s="35" t="s">
        <v>29</v>
      </c>
      <c r="C998" s="51">
        <v>45058</v>
      </c>
      <c r="D998" s="34" t="s">
        <v>30</v>
      </c>
      <c r="E998" s="35" t="s">
        <v>31</v>
      </c>
      <c r="F998" s="33" t="s">
        <v>32</v>
      </c>
      <c r="G998" s="50"/>
    </row>
    <row r="999" spans="1:7" ht="15.75" thickBot="1" x14ac:dyDescent="0.3">
      <c r="A999" s="39"/>
      <c r="B999" s="35" t="s">
        <v>33</v>
      </c>
      <c r="C999" s="52">
        <f>IF(C998="","",IF(AND(MONTH(C998)&gt;=1,MONTH(C998)&lt;=3),1,IF(AND(MONTH(C998)&gt;=4,MONTH(C998)&lt;=6),2,IF(AND(MONTH(C998)&gt;=7,MONTH(C998)&lt;=9),3,4))))</f>
        <v>2</v>
      </c>
      <c r="D999" s="39"/>
      <c r="E999" s="35" t="s">
        <v>34</v>
      </c>
      <c r="F999" s="33" t="s">
        <v>35</v>
      </c>
      <c r="G999" s="50"/>
    </row>
    <row r="1000" spans="1:7" ht="15.75" thickBot="1" x14ac:dyDescent="0.3">
      <c r="A1000" s="39"/>
      <c r="B1000" s="35" t="s">
        <v>36</v>
      </c>
      <c r="C1000" s="51">
        <v>45065</v>
      </c>
      <c r="D1000" s="39"/>
      <c r="E1000" s="35" t="s">
        <v>37</v>
      </c>
      <c r="F1000" s="33" t="s">
        <v>35</v>
      </c>
      <c r="G1000" s="50"/>
    </row>
    <row r="1001" spans="1:7" ht="15.75" thickBot="1" x14ac:dyDescent="0.3">
      <c r="A1001" s="39"/>
      <c r="B1001" s="35" t="s">
        <v>33</v>
      </c>
      <c r="C1001" s="52">
        <f>IF(C1000="","",IF(AND(MONTH(C1000)&gt;=1,MONTH(C1000)&lt;=3),1,IF(AND(MONTH(C1000)&gt;=4,MONTH(C1000)&lt;=6),2,IF(AND(MONTH(C1000)&gt;=7,MONTH(C1000)&lt;=9),3,4))))</f>
        <v>2</v>
      </c>
      <c r="D1001" s="39"/>
      <c r="E1001" s="35" t="s">
        <v>38</v>
      </c>
      <c r="F1001" s="33" t="s">
        <v>35</v>
      </c>
      <c r="G1001" s="50"/>
    </row>
    <row r="1002" spans="1:7" ht="15.75" thickBot="1" x14ac:dyDescent="0.3">
      <c r="A1002" s="50"/>
      <c r="B1002" s="50"/>
      <c r="C1002" s="50"/>
      <c r="D1002" s="50"/>
      <c r="E1002" s="50"/>
      <c r="F1002" s="50"/>
      <c r="G1002" s="50"/>
    </row>
    <row r="1003" spans="1:7" ht="15.75" thickBot="1" x14ac:dyDescent="0.3">
      <c r="A1003" s="41" t="s">
        <v>39</v>
      </c>
      <c r="B1003" s="41" t="s">
        <v>40</v>
      </c>
      <c r="C1003" s="41" t="s">
        <v>41</v>
      </c>
      <c r="D1003" s="41" t="s">
        <v>42</v>
      </c>
      <c r="E1003" s="41" t="s">
        <v>43</v>
      </c>
      <c r="F1003" s="41" t="s">
        <v>44</v>
      </c>
      <c r="G1003" s="50"/>
    </row>
    <row r="1004" spans="1:7" ht="56.25" x14ac:dyDescent="0.25">
      <c r="A1004" s="42">
        <v>81111812</v>
      </c>
      <c r="B1004" s="43" t="str">
        <f ca="1">IFERROR(INDEX(UNSPSCDes,MATCH(INDIRECT(ADDRESS(ROW(),COLUMN()-1,4)),UNSPSCCode,0)),"")</f>
        <v>Servicio de mantenimiento o soporte del hardware del computador</v>
      </c>
      <c r="C1004" s="42" t="s">
        <v>46</v>
      </c>
      <c r="D1004" s="42">
        <v>1</v>
      </c>
      <c r="E1004" s="45">
        <v>50000</v>
      </c>
      <c r="F1004" s="46">
        <f ca="1">INDIRECT(ADDRESS(ROW(),COLUMN()-2,4))*INDIRECT(ADDRESS(ROW(),COLUMN()-1,4))</f>
        <v>50000</v>
      </c>
      <c r="G1004" s="50"/>
    </row>
    <row r="1005" spans="1:7" ht="56.25" x14ac:dyDescent="0.25">
      <c r="A1005" s="42">
        <v>81111812</v>
      </c>
      <c r="B1005" s="43" t="str">
        <f ca="1">IFERROR(INDEX(UNSPSCDes,MATCH(INDIRECT(ADDRESS(ROW(),COLUMN()-1,4)),UNSPSCCode,0)),"")</f>
        <v>Servicio de mantenimiento o soporte del hardware del computador</v>
      </c>
      <c r="C1005" s="42" t="s">
        <v>46</v>
      </c>
      <c r="D1005" s="42">
        <v>14</v>
      </c>
      <c r="E1005" s="45">
        <v>3500</v>
      </c>
      <c r="F1005" s="46">
        <f ca="1">INDIRECT(ADDRESS(ROW(),COLUMN()-2,4))*INDIRECT(ADDRESS(ROW(),COLUMN()-1,4))</f>
        <v>49000</v>
      </c>
      <c r="G1005" s="50"/>
    </row>
    <row r="1006" spans="1:7" x14ac:dyDescent="0.25">
      <c r="A1006" s="50"/>
      <c r="B1006" s="50"/>
      <c r="C1006" s="50"/>
      <c r="D1006" s="50"/>
      <c r="E1006" s="54" t="s">
        <v>49</v>
      </c>
      <c r="F1006" s="49">
        <f ca="1">SUM(Table370[MONTO TOTAL ESTIMADO])</f>
        <v>99000</v>
      </c>
      <c r="G1006" s="50"/>
    </row>
    <row r="1007" spans="1:7" ht="17.25" thickBot="1" x14ac:dyDescent="0.3">
      <c r="A1007" s="30"/>
      <c r="B1007" s="30"/>
      <c r="C1007" s="30"/>
      <c r="D1007" s="30"/>
      <c r="E1007" s="30"/>
      <c r="F1007" s="30"/>
      <c r="G1007" s="30"/>
    </row>
    <row r="1008" spans="1:7" ht="34.5" thickBot="1" x14ac:dyDescent="0.3">
      <c r="A1008" s="31" t="s">
        <v>18</v>
      </c>
      <c r="B1008" s="31" t="s">
        <v>19</v>
      </c>
      <c r="C1008" s="31" t="s">
        <v>20</v>
      </c>
      <c r="D1008" s="31" t="s">
        <v>21</v>
      </c>
      <c r="E1008" s="31" t="s">
        <v>22</v>
      </c>
      <c r="F1008" s="31" t="s">
        <v>23</v>
      </c>
      <c r="G1008" s="50"/>
    </row>
    <row r="1009" spans="1:7" ht="15.75" thickBot="1" x14ac:dyDescent="0.3">
      <c r="A1009" s="33" t="s">
        <v>93</v>
      </c>
      <c r="B1009" s="33" t="s">
        <v>94</v>
      </c>
      <c r="C1009" s="33" t="s">
        <v>26</v>
      </c>
      <c r="D1009" s="33" t="s">
        <v>52</v>
      </c>
      <c r="E1009" s="33" t="s">
        <v>56</v>
      </c>
      <c r="F1009" s="33"/>
      <c r="G1009" s="50"/>
    </row>
    <row r="1010" spans="1:7" ht="15.75" thickBot="1" x14ac:dyDescent="0.3">
      <c r="A1010" s="34" t="s">
        <v>28</v>
      </c>
      <c r="B1010" s="35" t="s">
        <v>29</v>
      </c>
      <c r="C1010" s="51">
        <v>45068</v>
      </c>
      <c r="D1010" s="34" t="s">
        <v>30</v>
      </c>
      <c r="E1010" s="35" t="s">
        <v>31</v>
      </c>
      <c r="F1010" s="33" t="s">
        <v>32</v>
      </c>
      <c r="G1010" s="50"/>
    </row>
    <row r="1011" spans="1:7" ht="15.75" thickBot="1" x14ac:dyDescent="0.3">
      <c r="A1011" s="39"/>
      <c r="B1011" s="35" t="s">
        <v>33</v>
      </c>
      <c r="C1011" s="52">
        <f>IF(C1010="","",IF(AND(MONTH(C1010)&gt;=1,MONTH(C1010)&lt;=3),1,IF(AND(MONTH(C1010)&gt;=4,MONTH(C1010)&lt;=6),2,IF(AND(MONTH(C1010)&gt;=7,MONTH(C1010)&lt;=9),3,4))))</f>
        <v>2</v>
      </c>
      <c r="D1011" s="39"/>
      <c r="E1011" s="35" t="s">
        <v>34</v>
      </c>
      <c r="F1011" s="33" t="s">
        <v>35</v>
      </c>
      <c r="G1011" s="50"/>
    </row>
    <row r="1012" spans="1:7" ht="15.75" thickBot="1" x14ac:dyDescent="0.3">
      <c r="A1012" s="39"/>
      <c r="B1012" s="35" t="s">
        <v>36</v>
      </c>
      <c r="C1012" s="51">
        <v>45076</v>
      </c>
      <c r="D1012" s="39"/>
      <c r="E1012" s="35" t="s">
        <v>37</v>
      </c>
      <c r="F1012" s="33" t="s">
        <v>35</v>
      </c>
      <c r="G1012" s="50"/>
    </row>
    <row r="1013" spans="1:7" ht="15.75" thickBot="1" x14ac:dyDescent="0.3">
      <c r="A1013" s="39"/>
      <c r="B1013" s="35" t="s">
        <v>33</v>
      </c>
      <c r="C1013" s="52">
        <f>IF(C1012="","",IF(AND(MONTH(C1012)&gt;=1,MONTH(C1012)&lt;=3),1,IF(AND(MONTH(C1012)&gt;=4,MONTH(C1012)&lt;=6),2,IF(AND(MONTH(C1012)&gt;=7,MONTH(C1012)&lt;=9),3,4))))</f>
        <v>2</v>
      </c>
      <c r="D1013" s="39"/>
      <c r="E1013" s="35" t="s">
        <v>38</v>
      </c>
      <c r="F1013" s="33" t="s">
        <v>35</v>
      </c>
      <c r="G1013" s="50"/>
    </row>
    <row r="1014" spans="1:7" ht="15.75" thickBot="1" x14ac:dyDescent="0.3">
      <c r="A1014" s="50"/>
      <c r="B1014" s="50"/>
      <c r="C1014" s="50"/>
      <c r="D1014" s="50"/>
      <c r="E1014" s="50"/>
      <c r="F1014" s="50"/>
      <c r="G1014" s="50"/>
    </row>
    <row r="1015" spans="1:7" ht="15.75" thickBot="1" x14ac:dyDescent="0.3">
      <c r="A1015" s="41" t="s">
        <v>39</v>
      </c>
      <c r="B1015" s="41" t="s">
        <v>40</v>
      </c>
      <c r="C1015" s="41" t="s">
        <v>41</v>
      </c>
      <c r="D1015" s="41" t="s">
        <v>42</v>
      </c>
      <c r="E1015" s="41" t="s">
        <v>43</v>
      </c>
      <c r="F1015" s="41" t="s">
        <v>44</v>
      </c>
      <c r="G1015" s="50"/>
    </row>
    <row r="1016" spans="1:7" ht="33.75" x14ac:dyDescent="0.25">
      <c r="A1016" s="42">
        <v>43232101</v>
      </c>
      <c r="B1016" s="43" t="str">
        <f ca="1">IFERROR(INDEX(UNSPSCDes,MATCH(INDIRECT(ADDRESS(ROW(),COLUMN()-1,4)),UNSPSCCode,0)),"")</f>
        <v>Software de diseño de patrones</v>
      </c>
      <c r="C1016" s="42" t="s">
        <v>46</v>
      </c>
      <c r="D1016" s="42">
        <v>3</v>
      </c>
      <c r="E1016" s="45">
        <v>50000</v>
      </c>
      <c r="F1016" s="46">
        <f ca="1">INDIRECT(ADDRESS(ROW(),COLUMN()-2,4))*INDIRECT(ADDRESS(ROW(),COLUMN()-1,4))</f>
        <v>150000</v>
      </c>
      <c r="G1016" s="50"/>
    </row>
    <row r="1017" spans="1:7" x14ac:dyDescent="0.25">
      <c r="A1017" s="50"/>
      <c r="B1017" s="50"/>
      <c r="C1017" s="50"/>
      <c r="D1017" s="50"/>
      <c r="E1017" s="54" t="s">
        <v>49</v>
      </c>
      <c r="F1017" s="49">
        <f ca="1">SUM(Table371[MONTO TOTAL ESTIMADO])</f>
        <v>150000</v>
      </c>
      <c r="G1017" s="50"/>
    </row>
    <row r="1018" spans="1:7" ht="17.25" thickBot="1" x14ac:dyDescent="0.3">
      <c r="A1018" s="30"/>
      <c r="B1018" s="30"/>
      <c r="C1018" s="30"/>
      <c r="D1018" s="30"/>
      <c r="E1018" s="30"/>
      <c r="F1018" s="30"/>
      <c r="G1018" s="30"/>
    </row>
    <row r="1019" spans="1:7" ht="34.5" thickBot="1" x14ac:dyDescent="0.3">
      <c r="A1019" s="31" t="s">
        <v>18</v>
      </c>
      <c r="B1019" s="31" t="s">
        <v>19</v>
      </c>
      <c r="C1019" s="31" t="s">
        <v>20</v>
      </c>
      <c r="D1019" s="31" t="s">
        <v>21</v>
      </c>
      <c r="E1019" s="31" t="s">
        <v>22</v>
      </c>
      <c r="F1019" s="31" t="s">
        <v>23</v>
      </c>
      <c r="G1019" s="50"/>
    </row>
    <row r="1020" spans="1:7" ht="15.75" thickBot="1" x14ac:dyDescent="0.3">
      <c r="A1020" s="33" t="s">
        <v>80</v>
      </c>
      <c r="B1020" s="33" t="s">
        <v>25</v>
      </c>
      <c r="C1020" s="33" t="s">
        <v>26</v>
      </c>
      <c r="D1020" s="33" t="s">
        <v>27</v>
      </c>
      <c r="E1020" s="33" t="s">
        <v>53</v>
      </c>
      <c r="F1020" s="33"/>
      <c r="G1020" s="50"/>
    </row>
    <row r="1021" spans="1:7" ht="15.75" thickBot="1" x14ac:dyDescent="0.3">
      <c r="A1021" s="34" t="s">
        <v>28</v>
      </c>
      <c r="B1021" s="35" t="s">
        <v>29</v>
      </c>
      <c r="C1021" s="51">
        <v>45082</v>
      </c>
      <c r="D1021" s="34" t="s">
        <v>30</v>
      </c>
      <c r="E1021" s="35" t="s">
        <v>31</v>
      </c>
      <c r="F1021" s="33" t="s">
        <v>32</v>
      </c>
      <c r="G1021" s="50"/>
    </row>
    <row r="1022" spans="1:7" ht="15.75" thickBot="1" x14ac:dyDescent="0.3">
      <c r="A1022" s="39"/>
      <c r="B1022" s="35" t="s">
        <v>33</v>
      </c>
      <c r="C1022" s="52">
        <f>IF(C1021="","",IF(AND(MONTH(C1021)&gt;=1,MONTH(C1021)&lt;=3),1,IF(AND(MONTH(C1021)&gt;=4,MONTH(C1021)&lt;=6),2,IF(AND(MONTH(C1021)&gt;=7,MONTH(C1021)&lt;=9),3,4))))</f>
        <v>2</v>
      </c>
      <c r="D1022" s="39"/>
      <c r="E1022" s="35" t="s">
        <v>34</v>
      </c>
      <c r="F1022" s="33" t="s">
        <v>35</v>
      </c>
      <c r="G1022" s="50"/>
    </row>
    <row r="1023" spans="1:7" ht="15.75" thickBot="1" x14ac:dyDescent="0.3">
      <c r="A1023" s="39"/>
      <c r="B1023" s="35" t="s">
        <v>36</v>
      </c>
      <c r="C1023" s="51">
        <v>45092</v>
      </c>
      <c r="D1023" s="39"/>
      <c r="E1023" s="35" t="s">
        <v>37</v>
      </c>
      <c r="F1023" s="33" t="s">
        <v>35</v>
      </c>
      <c r="G1023" s="50"/>
    </row>
    <row r="1024" spans="1:7" ht="15.75" thickBot="1" x14ac:dyDescent="0.3">
      <c r="A1024" s="39"/>
      <c r="B1024" s="35" t="s">
        <v>33</v>
      </c>
      <c r="C1024" s="52">
        <f>IF(C1023="","",IF(AND(MONTH(C1023)&gt;=1,MONTH(C1023)&lt;=3),1,IF(AND(MONTH(C1023)&gt;=4,MONTH(C1023)&lt;=6),2,IF(AND(MONTH(C1023)&gt;=7,MONTH(C1023)&lt;=9),3,4))))</f>
        <v>2</v>
      </c>
      <c r="D1024" s="39"/>
      <c r="E1024" s="35" t="s">
        <v>38</v>
      </c>
      <c r="F1024" s="33" t="s">
        <v>35</v>
      </c>
      <c r="G1024" s="50"/>
    </row>
    <row r="1025" spans="1:7" ht="15.75" thickBot="1" x14ac:dyDescent="0.3">
      <c r="A1025" s="50"/>
      <c r="B1025" s="50"/>
      <c r="C1025" s="50"/>
      <c r="D1025" s="50"/>
      <c r="E1025" s="50"/>
      <c r="F1025" s="50"/>
      <c r="G1025" s="50"/>
    </row>
    <row r="1026" spans="1:7" ht="15.75" thickBot="1" x14ac:dyDescent="0.3">
      <c r="A1026" s="41" t="s">
        <v>39</v>
      </c>
      <c r="B1026" s="41" t="s">
        <v>40</v>
      </c>
      <c r="C1026" s="41" t="s">
        <v>41</v>
      </c>
      <c r="D1026" s="41" t="s">
        <v>42</v>
      </c>
      <c r="E1026" s="41" t="s">
        <v>43</v>
      </c>
      <c r="F1026" s="41" t="s">
        <v>44</v>
      </c>
      <c r="G1026" s="50"/>
    </row>
    <row r="1027" spans="1:7" ht="22.5" x14ac:dyDescent="0.25">
      <c r="A1027" s="42">
        <v>47131812</v>
      </c>
      <c r="B1027" s="43" t="str">
        <f t="shared" ref="B1027:B1050" ca="1" si="17">IFERROR(INDEX(UNSPSCDes,MATCH(INDIRECT(ADDRESS(ROW(),COLUMN()-1,4)),UNSPSCCode,0)),"")</f>
        <v>Refrescador de aire</v>
      </c>
      <c r="C1027" s="42" t="s">
        <v>45</v>
      </c>
      <c r="D1027" s="42">
        <v>8</v>
      </c>
      <c r="E1027" s="45">
        <v>101</v>
      </c>
      <c r="F1027" s="46">
        <f t="shared" ref="F1027:F1050" ca="1" si="18">INDIRECT(ADDRESS(ROW(),COLUMN()-2,4))*INDIRECT(ADDRESS(ROW(),COLUMN()-1,4))</f>
        <v>808</v>
      </c>
      <c r="G1027" s="50"/>
    </row>
    <row r="1028" spans="1:7" x14ac:dyDescent="0.25">
      <c r="A1028" s="42">
        <v>44122101</v>
      </c>
      <c r="B1028" s="43" t="str">
        <f t="shared" ca="1" si="17"/>
        <v>Cauchos</v>
      </c>
      <c r="C1028" s="42" t="s">
        <v>46</v>
      </c>
      <c r="D1028" s="42">
        <v>35</v>
      </c>
      <c r="E1028" s="45">
        <v>26</v>
      </c>
      <c r="F1028" s="46">
        <f t="shared" ca="1" si="18"/>
        <v>910</v>
      </c>
      <c r="G1028" s="50"/>
    </row>
    <row r="1029" spans="1:7" x14ac:dyDescent="0.25">
      <c r="A1029" s="42">
        <v>44121701</v>
      </c>
      <c r="B1029" s="43" t="str">
        <f t="shared" ca="1" si="17"/>
        <v>Bolígrafos</v>
      </c>
      <c r="C1029" s="42" t="s">
        <v>45</v>
      </c>
      <c r="D1029" s="42">
        <v>48</v>
      </c>
      <c r="E1029" s="45">
        <v>62</v>
      </c>
      <c r="F1029" s="46">
        <f t="shared" ca="1" si="18"/>
        <v>2976</v>
      </c>
      <c r="G1029" s="50"/>
    </row>
    <row r="1030" spans="1:7" x14ac:dyDescent="0.25">
      <c r="A1030" s="42">
        <v>44122003</v>
      </c>
      <c r="B1030" s="43" t="str">
        <f t="shared" ca="1" si="17"/>
        <v>Carpetas</v>
      </c>
      <c r="C1030" s="42" t="s">
        <v>46</v>
      </c>
      <c r="D1030" s="42">
        <v>35</v>
      </c>
      <c r="E1030" s="45">
        <v>160</v>
      </c>
      <c r="F1030" s="46">
        <f t="shared" ca="1" si="18"/>
        <v>5600</v>
      </c>
      <c r="G1030" s="50"/>
    </row>
    <row r="1031" spans="1:7" ht="22.5" x14ac:dyDescent="0.25">
      <c r="A1031" s="42">
        <v>43202001</v>
      </c>
      <c r="B1031" s="43" t="str">
        <f t="shared" ca="1" si="17"/>
        <v>Discos compactos cd</v>
      </c>
      <c r="C1031" s="42" t="s">
        <v>46</v>
      </c>
      <c r="D1031" s="42">
        <v>7</v>
      </c>
      <c r="E1031" s="45">
        <v>25</v>
      </c>
      <c r="F1031" s="46">
        <f t="shared" ca="1" si="18"/>
        <v>175</v>
      </c>
      <c r="G1031" s="50"/>
    </row>
    <row r="1032" spans="1:7" x14ac:dyDescent="0.25">
      <c r="A1032" s="42">
        <v>44122101</v>
      </c>
      <c r="B1032" s="43" t="str">
        <f t="shared" ca="1" si="17"/>
        <v>Cauchos</v>
      </c>
      <c r="C1032" s="42" t="s">
        <v>45</v>
      </c>
      <c r="D1032" s="42">
        <v>6</v>
      </c>
      <c r="E1032" s="45">
        <v>65</v>
      </c>
      <c r="F1032" s="46">
        <f t="shared" ca="1" si="18"/>
        <v>390</v>
      </c>
      <c r="G1032" s="50"/>
    </row>
    <row r="1033" spans="1:7" x14ac:dyDescent="0.25">
      <c r="A1033" s="42">
        <v>31201505</v>
      </c>
      <c r="B1033" s="43" t="str">
        <f t="shared" ca="1" si="17"/>
        <v>Cinta doble faz</v>
      </c>
      <c r="C1033" s="42" t="s">
        <v>46</v>
      </c>
      <c r="D1033" s="42">
        <v>6</v>
      </c>
      <c r="E1033" s="45">
        <v>233</v>
      </c>
      <c r="F1033" s="46">
        <f t="shared" ca="1" si="18"/>
        <v>1398</v>
      </c>
      <c r="G1033" s="50"/>
    </row>
    <row r="1034" spans="1:7" x14ac:dyDescent="0.25">
      <c r="A1034" s="42">
        <v>31201523</v>
      </c>
      <c r="B1034" s="43" t="str">
        <f t="shared" ca="1" si="17"/>
        <v>Cinta de tela</v>
      </c>
      <c r="C1034" s="42" t="s">
        <v>46</v>
      </c>
      <c r="D1034" s="42">
        <v>24</v>
      </c>
      <c r="E1034" s="45">
        <v>60</v>
      </c>
      <c r="F1034" s="46">
        <f t="shared" ca="1" si="18"/>
        <v>1440</v>
      </c>
      <c r="G1034" s="50"/>
    </row>
    <row r="1035" spans="1:7" ht="22.5" x14ac:dyDescent="0.25">
      <c r="A1035" s="42">
        <v>44122104</v>
      </c>
      <c r="B1035" s="43" t="str">
        <f t="shared" ca="1" si="17"/>
        <v>Clips para papel</v>
      </c>
      <c r="C1035" s="42" t="s">
        <v>45</v>
      </c>
      <c r="D1035" s="42">
        <v>3</v>
      </c>
      <c r="E1035" s="45">
        <v>165</v>
      </c>
      <c r="F1035" s="46">
        <f t="shared" ca="1" si="18"/>
        <v>495</v>
      </c>
      <c r="G1035" s="50"/>
    </row>
    <row r="1036" spans="1:7" ht="22.5" x14ac:dyDescent="0.25">
      <c r="A1036" s="42">
        <v>44122104</v>
      </c>
      <c r="B1036" s="43" t="str">
        <f t="shared" ca="1" si="17"/>
        <v>Clips para papel</v>
      </c>
      <c r="C1036" s="42" t="s">
        <v>45</v>
      </c>
      <c r="D1036" s="42">
        <v>2</v>
      </c>
      <c r="E1036" s="45">
        <v>160</v>
      </c>
      <c r="F1036" s="46">
        <f t="shared" ca="1" si="18"/>
        <v>320</v>
      </c>
      <c r="G1036" s="50"/>
    </row>
    <row r="1037" spans="1:7" ht="22.5" x14ac:dyDescent="0.25">
      <c r="A1037" s="42">
        <v>44122104</v>
      </c>
      <c r="B1037" s="43" t="str">
        <f t="shared" ca="1" si="17"/>
        <v>Clips para papel</v>
      </c>
      <c r="C1037" s="42" t="s">
        <v>45</v>
      </c>
      <c r="D1037" s="42">
        <v>5</v>
      </c>
      <c r="E1037" s="45">
        <v>350</v>
      </c>
      <c r="F1037" s="46">
        <f t="shared" ca="1" si="18"/>
        <v>1750</v>
      </c>
      <c r="G1037" s="50"/>
    </row>
    <row r="1038" spans="1:7" ht="22.5" x14ac:dyDescent="0.25">
      <c r="A1038" s="42">
        <v>44122104</v>
      </c>
      <c r="B1038" s="43" t="str">
        <f t="shared" ca="1" si="17"/>
        <v>Clips para papel</v>
      </c>
      <c r="C1038" s="42" t="s">
        <v>45</v>
      </c>
      <c r="D1038" s="42">
        <v>5</v>
      </c>
      <c r="E1038" s="45">
        <v>150</v>
      </c>
      <c r="F1038" s="46">
        <f t="shared" ca="1" si="18"/>
        <v>750</v>
      </c>
      <c r="G1038" s="50"/>
    </row>
    <row r="1039" spans="1:7" ht="22.5" x14ac:dyDescent="0.25">
      <c r="A1039" s="42">
        <v>44111611</v>
      </c>
      <c r="B1039" s="43" t="str">
        <f t="shared" ca="1" si="17"/>
        <v>Clips para billetes</v>
      </c>
      <c r="C1039" s="42" t="s">
        <v>45</v>
      </c>
      <c r="D1039" s="42">
        <v>3</v>
      </c>
      <c r="E1039" s="45">
        <v>430</v>
      </c>
      <c r="F1039" s="46">
        <f t="shared" ca="1" si="18"/>
        <v>1290</v>
      </c>
      <c r="G1039" s="50"/>
    </row>
    <row r="1040" spans="1:7" ht="22.5" x14ac:dyDescent="0.25">
      <c r="A1040" s="42">
        <v>44111611</v>
      </c>
      <c r="B1040" s="43" t="str">
        <f t="shared" ca="1" si="17"/>
        <v>Clips para billetes</v>
      </c>
      <c r="C1040" s="42" t="s">
        <v>45</v>
      </c>
      <c r="D1040" s="42">
        <v>4</v>
      </c>
      <c r="E1040" s="45">
        <v>650</v>
      </c>
      <c r="F1040" s="46">
        <f t="shared" ca="1" si="18"/>
        <v>2600</v>
      </c>
      <c r="G1040" s="50"/>
    </row>
    <row r="1041" spans="1:7" ht="33.75" x14ac:dyDescent="0.25">
      <c r="A1041" s="42">
        <v>60121104</v>
      </c>
      <c r="B1041" s="43" t="str">
        <f t="shared" ca="1" si="17"/>
        <v>Papel bond para para dibujo</v>
      </c>
      <c r="C1041" s="42" t="s">
        <v>45</v>
      </c>
      <c r="D1041" s="42">
        <v>45</v>
      </c>
      <c r="E1041" s="45">
        <v>2237.2800000000002</v>
      </c>
      <c r="F1041" s="46">
        <f t="shared" ca="1" si="18"/>
        <v>100677.6</v>
      </c>
      <c r="G1041" s="50"/>
    </row>
    <row r="1042" spans="1:7" ht="33.75" x14ac:dyDescent="0.25">
      <c r="A1042" s="42">
        <v>60121104</v>
      </c>
      <c r="B1042" s="43" t="str">
        <f t="shared" ca="1" si="17"/>
        <v>Papel bond para para dibujo</v>
      </c>
      <c r="C1042" s="42" t="s">
        <v>45</v>
      </c>
      <c r="D1042" s="42">
        <v>10</v>
      </c>
      <c r="E1042" s="45">
        <v>2237.2800000000002</v>
      </c>
      <c r="F1042" s="46">
        <f t="shared" ca="1" si="18"/>
        <v>22372.800000000003</v>
      </c>
      <c r="G1042" s="50"/>
    </row>
    <row r="1043" spans="1:7" ht="22.5" x14ac:dyDescent="0.25">
      <c r="A1043" s="42">
        <v>44121605</v>
      </c>
      <c r="B1043" s="43" t="str">
        <f t="shared" ca="1" si="17"/>
        <v>Dispensadores de cinta</v>
      </c>
      <c r="C1043" s="42" t="s">
        <v>46</v>
      </c>
      <c r="D1043" s="42">
        <v>8</v>
      </c>
      <c r="E1043" s="45">
        <v>125</v>
      </c>
      <c r="F1043" s="46">
        <f t="shared" ca="1" si="18"/>
        <v>1000</v>
      </c>
      <c r="G1043" s="50"/>
    </row>
    <row r="1044" spans="1:7" ht="45" x14ac:dyDescent="0.25">
      <c r="A1044" s="42">
        <v>44103504</v>
      </c>
      <c r="B1044" s="43" t="str">
        <f t="shared" ca="1" si="17"/>
        <v>Alambres o espirales de encuadernación</v>
      </c>
      <c r="C1044" s="42" t="s">
        <v>45</v>
      </c>
      <c r="D1044" s="42">
        <v>2</v>
      </c>
      <c r="E1044" s="45">
        <v>550</v>
      </c>
      <c r="F1044" s="46">
        <f t="shared" ca="1" si="18"/>
        <v>1100</v>
      </c>
      <c r="G1044" s="50"/>
    </row>
    <row r="1045" spans="1:7" ht="45" x14ac:dyDescent="0.25">
      <c r="A1045" s="42">
        <v>44103504</v>
      </c>
      <c r="B1045" s="43" t="str">
        <f t="shared" ca="1" si="17"/>
        <v>Alambres o espirales de encuadernación</v>
      </c>
      <c r="C1045" s="42" t="s">
        <v>45</v>
      </c>
      <c r="D1045" s="42">
        <v>2</v>
      </c>
      <c r="E1045" s="45">
        <v>413</v>
      </c>
      <c r="F1045" s="46">
        <f t="shared" ca="1" si="18"/>
        <v>826</v>
      </c>
      <c r="G1045" s="50"/>
    </row>
    <row r="1046" spans="1:7" x14ac:dyDescent="0.25">
      <c r="A1046" s="42">
        <v>44121615</v>
      </c>
      <c r="B1046" s="43" t="str">
        <f t="shared" ca="1" si="17"/>
        <v>Grapadoras</v>
      </c>
      <c r="C1046" s="42" t="s">
        <v>46</v>
      </c>
      <c r="D1046" s="42">
        <v>5</v>
      </c>
      <c r="E1046" s="45">
        <v>270</v>
      </c>
      <c r="F1046" s="46">
        <f t="shared" ca="1" si="18"/>
        <v>1350</v>
      </c>
      <c r="G1046" s="50"/>
    </row>
    <row r="1047" spans="1:7" ht="33.75" x14ac:dyDescent="0.25">
      <c r="A1047" s="42">
        <v>44103502</v>
      </c>
      <c r="B1047" s="43" t="str">
        <f t="shared" ca="1" si="17"/>
        <v>Tapas de encuadernación</v>
      </c>
      <c r="C1047" s="42" t="s">
        <v>47</v>
      </c>
      <c r="D1047" s="42">
        <v>12</v>
      </c>
      <c r="E1047" s="45">
        <v>410</v>
      </c>
      <c r="F1047" s="46">
        <f t="shared" ca="1" si="18"/>
        <v>4920</v>
      </c>
      <c r="G1047" s="50"/>
    </row>
    <row r="1048" spans="1:7" x14ac:dyDescent="0.25">
      <c r="A1048" s="42">
        <v>44121618</v>
      </c>
      <c r="B1048" s="43" t="str">
        <f t="shared" ca="1" si="17"/>
        <v>Tijeras</v>
      </c>
      <c r="C1048" s="42" t="s">
        <v>46</v>
      </c>
      <c r="D1048" s="42">
        <v>6</v>
      </c>
      <c r="E1048" s="45">
        <v>45</v>
      </c>
      <c r="F1048" s="46">
        <f t="shared" ca="1" si="18"/>
        <v>270</v>
      </c>
      <c r="G1048" s="50"/>
    </row>
    <row r="1049" spans="1:7" ht="22.5" x14ac:dyDescent="0.25">
      <c r="A1049" s="42">
        <v>12191501</v>
      </c>
      <c r="B1049" s="43" t="str">
        <f t="shared" ca="1" si="17"/>
        <v>Disolventes aromáticos</v>
      </c>
      <c r="C1049" s="42" t="s">
        <v>45</v>
      </c>
      <c r="D1049" s="42">
        <v>5</v>
      </c>
      <c r="E1049" s="45">
        <v>1500</v>
      </c>
      <c r="F1049" s="46">
        <f t="shared" ca="1" si="18"/>
        <v>7500</v>
      </c>
      <c r="G1049" s="50"/>
    </row>
    <row r="1050" spans="1:7" x14ac:dyDescent="0.25">
      <c r="A1050" s="42">
        <v>31201610</v>
      </c>
      <c r="B1050" s="43" t="str">
        <f t="shared" ca="1" si="17"/>
        <v>Pegamentos</v>
      </c>
      <c r="C1050" s="42" t="s">
        <v>59</v>
      </c>
      <c r="D1050" s="42">
        <v>3</v>
      </c>
      <c r="E1050" s="45">
        <v>300</v>
      </c>
      <c r="F1050" s="46">
        <f t="shared" ca="1" si="18"/>
        <v>900</v>
      </c>
      <c r="G1050" s="50"/>
    </row>
    <row r="1051" spans="1:7" x14ac:dyDescent="0.25">
      <c r="A1051" s="50"/>
      <c r="B1051" s="50"/>
      <c r="C1051" s="50"/>
      <c r="D1051" s="50"/>
      <c r="E1051" s="54" t="s">
        <v>49</v>
      </c>
      <c r="F1051" s="49">
        <f ca="1">SUM(Table372[MONTO TOTAL ESTIMADO])</f>
        <v>161818.40000000002</v>
      </c>
      <c r="G1051" s="50"/>
    </row>
    <row r="1052" spans="1:7" ht="17.25" thickBot="1" x14ac:dyDescent="0.3">
      <c r="A1052" s="30"/>
      <c r="B1052" s="30"/>
      <c r="C1052" s="30"/>
      <c r="D1052" s="30"/>
      <c r="E1052" s="30"/>
      <c r="F1052" s="30"/>
      <c r="G1052" s="30"/>
    </row>
    <row r="1053" spans="1:7" ht="34.5" thickBot="1" x14ac:dyDescent="0.3">
      <c r="A1053" s="31" t="s">
        <v>18</v>
      </c>
      <c r="B1053" s="31" t="s">
        <v>19</v>
      </c>
      <c r="C1053" s="31" t="s">
        <v>20</v>
      </c>
      <c r="D1053" s="31" t="s">
        <v>21</v>
      </c>
      <c r="E1053" s="31" t="s">
        <v>22</v>
      </c>
      <c r="F1053" s="31" t="s">
        <v>23</v>
      </c>
      <c r="G1053" s="50"/>
    </row>
    <row r="1054" spans="1:7" ht="15.75" thickBot="1" x14ac:dyDescent="0.3">
      <c r="A1054" s="33" t="s">
        <v>50</v>
      </c>
      <c r="B1054" s="33" t="s">
        <v>95</v>
      </c>
      <c r="C1054" s="33" t="s">
        <v>26</v>
      </c>
      <c r="D1054" s="33" t="s">
        <v>52</v>
      </c>
      <c r="E1054" s="33" t="s">
        <v>62</v>
      </c>
      <c r="F1054" s="33"/>
      <c r="G1054" s="50"/>
    </row>
    <row r="1055" spans="1:7" ht="15.75" thickBot="1" x14ac:dyDescent="0.3">
      <c r="A1055" s="34" t="s">
        <v>28</v>
      </c>
      <c r="B1055" s="35" t="s">
        <v>29</v>
      </c>
      <c r="C1055" s="51">
        <v>45078</v>
      </c>
      <c r="D1055" s="34" t="s">
        <v>30</v>
      </c>
      <c r="E1055" s="35" t="s">
        <v>31</v>
      </c>
      <c r="F1055" s="33" t="s">
        <v>32</v>
      </c>
      <c r="G1055" s="50"/>
    </row>
    <row r="1056" spans="1:7" ht="15.75" thickBot="1" x14ac:dyDescent="0.3">
      <c r="A1056" s="39"/>
      <c r="B1056" s="35" t="s">
        <v>33</v>
      </c>
      <c r="C1056" s="52">
        <f>IF(C1055="","",IF(AND(MONTH(C1055)&gt;=1,MONTH(C1055)&lt;=3),1,IF(AND(MONTH(C1055)&gt;=4,MONTH(C1055)&lt;=6),2,IF(AND(MONTH(C1055)&gt;=7,MONTH(C1055)&lt;=9),3,4))))</f>
        <v>2</v>
      </c>
      <c r="D1056" s="39"/>
      <c r="E1056" s="35" t="s">
        <v>34</v>
      </c>
      <c r="F1056" s="33" t="s">
        <v>35</v>
      </c>
      <c r="G1056" s="50"/>
    </row>
    <row r="1057" spans="1:7" ht="15.75" thickBot="1" x14ac:dyDescent="0.3">
      <c r="A1057" s="39"/>
      <c r="B1057" s="35" t="s">
        <v>36</v>
      </c>
      <c r="C1057" s="51">
        <v>45086</v>
      </c>
      <c r="D1057" s="39"/>
      <c r="E1057" s="35" t="s">
        <v>37</v>
      </c>
      <c r="F1057" s="33" t="s">
        <v>35</v>
      </c>
      <c r="G1057" s="50"/>
    </row>
    <row r="1058" spans="1:7" ht="15.75" thickBot="1" x14ac:dyDescent="0.3">
      <c r="A1058" s="39"/>
      <c r="B1058" s="35" t="s">
        <v>33</v>
      </c>
      <c r="C1058" s="52">
        <f>IF(C1057="","",IF(AND(MONTH(C1057)&gt;=1,MONTH(C1057)&lt;=3),1,IF(AND(MONTH(C1057)&gt;=4,MONTH(C1057)&lt;=6),2,IF(AND(MONTH(C1057)&gt;=7,MONTH(C1057)&lt;=9),3,4))))</f>
        <v>2</v>
      </c>
      <c r="D1058" s="39"/>
      <c r="E1058" s="35" t="s">
        <v>38</v>
      </c>
      <c r="F1058" s="33" t="s">
        <v>35</v>
      </c>
      <c r="G1058" s="50"/>
    </row>
    <row r="1059" spans="1:7" ht="15.75" thickBot="1" x14ac:dyDescent="0.3">
      <c r="A1059" s="50"/>
      <c r="B1059" s="50"/>
      <c r="C1059" s="50"/>
      <c r="D1059" s="50"/>
      <c r="E1059" s="50"/>
      <c r="F1059" s="50"/>
      <c r="G1059" s="50"/>
    </row>
    <row r="1060" spans="1:7" ht="15.75" thickBot="1" x14ac:dyDescent="0.3">
      <c r="A1060" s="41" t="s">
        <v>39</v>
      </c>
      <c r="B1060" s="41" t="s">
        <v>40</v>
      </c>
      <c r="C1060" s="41" t="s">
        <v>41</v>
      </c>
      <c r="D1060" s="41" t="s">
        <v>42</v>
      </c>
      <c r="E1060" s="41" t="s">
        <v>43</v>
      </c>
      <c r="F1060" s="41" t="s">
        <v>44</v>
      </c>
      <c r="G1060" s="50"/>
    </row>
    <row r="1061" spans="1:7" ht="22.5" x14ac:dyDescent="0.25">
      <c r="A1061" s="42">
        <v>50161510</v>
      </c>
      <c r="B1061" s="43" t="str">
        <f t="shared" ref="B1061:B1066" ca="1" si="19">IFERROR(INDEX(UNSPSCDes,MATCH(INDIRECT(ADDRESS(ROW(),COLUMN()-1,4)),UNSPSCCode,0)),"")</f>
        <v>Endulzantes artificiales</v>
      </c>
      <c r="C1061" s="42" t="s">
        <v>47</v>
      </c>
      <c r="D1061" s="42">
        <v>20</v>
      </c>
      <c r="E1061" s="45">
        <v>170</v>
      </c>
      <c r="F1061" s="46">
        <f t="shared" ref="F1061:F1066" ca="1" si="20">INDIRECT(ADDRESS(ROW(),COLUMN()-2,4))*INDIRECT(ADDRESS(ROW(),COLUMN()-1,4))</f>
        <v>3400</v>
      </c>
      <c r="G1061" s="50"/>
    </row>
    <row r="1062" spans="1:7" ht="22.5" x14ac:dyDescent="0.25">
      <c r="A1062" s="42">
        <v>50161510</v>
      </c>
      <c r="B1062" s="43" t="str">
        <f t="shared" ca="1" si="19"/>
        <v>Endulzantes artificiales</v>
      </c>
      <c r="C1062" s="42" t="s">
        <v>47</v>
      </c>
      <c r="D1062" s="42">
        <v>125</v>
      </c>
      <c r="E1062" s="45">
        <v>150</v>
      </c>
      <c r="F1062" s="46">
        <f t="shared" ca="1" si="20"/>
        <v>18750</v>
      </c>
      <c r="G1062" s="50"/>
    </row>
    <row r="1063" spans="1:7" x14ac:dyDescent="0.25">
      <c r="A1063" s="42">
        <v>50201706</v>
      </c>
      <c r="B1063" s="43" t="str">
        <f t="shared" ca="1" si="19"/>
        <v>Café</v>
      </c>
      <c r="C1063" s="42" t="s">
        <v>47</v>
      </c>
      <c r="D1063" s="42">
        <v>15</v>
      </c>
      <c r="E1063" s="45">
        <v>1200</v>
      </c>
      <c r="F1063" s="46">
        <f t="shared" ca="1" si="20"/>
        <v>18000</v>
      </c>
      <c r="G1063" s="50"/>
    </row>
    <row r="1064" spans="1:7" x14ac:dyDescent="0.25">
      <c r="A1064" s="42">
        <v>50201711</v>
      </c>
      <c r="B1064" s="43" t="str">
        <f t="shared" ca="1" si="19"/>
        <v>Té instantáneo</v>
      </c>
      <c r="C1064" s="42" t="s">
        <v>46</v>
      </c>
      <c r="D1064" s="42">
        <v>30</v>
      </c>
      <c r="E1064" s="45">
        <v>235</v>
      </c>
      <c r="F1064" s="46">
        <f t="shared" ca="1" si="20"/>
        <v>7050</v>
      </c>
      <c r="G1064" s="50"/>
    </row>
    <row r="1065" spans="1:7" x14ac:dyDescent="0.25">
      <c r="A1065" s="42">
        <v>50201711</v>
      </c>
      <c r="B1065" s="43" t="str">
        <f t="shared" ca="1" si="19"/>
        <v>Té instantáneo</v>
      </c>
      <c r="C1065" s="42" t="s">
        <v>46</v>
      </c>
      <c r="D1065" s="42">
        <v>16</v>
      </c>
      <c r="E1065" s="45">
        <v>300</v>
      </c>
      <c r="F1065" s="46">
        <f t="shared" ca="1" si="20"/>
        <v>4800</v>
      </c>
      <c r="G1065" s="50"/>
    </row>
    <row r="1066" spans="1:7" x14ac:dyDescent="0.25">
      <c r="A1066" s="42">
        <v>50201711</v>
      </c>
      <c r="B1066" s="43" t="str">
        <f t="shared" ca="1" si="19"/>
        <v>Té instantáneo</v>
      </c>
      <c r="C1066" s="42" t="s">
        <v>46</v>
      </c>
      <c r="D1066" s="42">
        <v>2</v>
      </c>
      <c r="E1066" s="45">
        <v>300</v>
      </c>
      <c r="F1066" s="46">
        <f t="shared" ca="1" si="20"/>
        <v>600</v>
      </c>
      <c r="G1066" s="50"/>
    </row>
    <row r="1067" spans="1:7" x14ac:dyDescent="0.25">
      <c r="A1067" s="50"/>
      <c r="B1067" s="50"/>
      <c r="C1067" s="50"/>
      <c r="D1067" s="50"/>
      <c r="E1067" s="54" t="s">
        <v>49</v>
      </c>
      <c r="F1067" s="49">
        <f ca="1">SUM(Table373[MONTO TOTAL ESTIMADO])</f>
        <v>52600</v>
      </c>
      <c r="G1067" s="50"/>
    </row>
    <row r="1068" spans="1:7" ht="17.25" thickBot="1" x14ac:dyDescent="0.3">
      <c r="A1068" s="30"/>
      <c r="B1068" s="30"/>
      <c r="C1068" s="30"/>
      <c r="D1068" s="30"/>
      <c r="E1068" s="30"/>
      <c r="F1068" s="30"/>
      <c r="G1068" s="30"/>
    </row>
    <row r="1069" spans="1:7" ht="34.5" thickBot="1" x14ac:dyDescent="0.3">
      <c r="A1069" s="31" t="s">
        <v>18</v>
      </c>
      <c r="B1069" s="31" t="s">
        <v>19</v>
      </c>
      <c r="C1069" s="31" t="s">
        <v>20</v>
      </c>
      <c r="D1069" s="31" t="s">
        <v>21</v>
      </c>
      <c r="E1069" s="31" t="s">
        <v>22</v>
      </c>
      <c r="F1069" s="31" t="s">
        <v>23</v>
      </c>
      <c r="G1069" s="50"/>
    </row>
    <row r="1070" spans="1:7" ht="15.75" thickBot="1" x14ac:dyDescent="0.3">
      <c r="A1070" s="33" t="s">
        <v>57</v>
      </c>
      <c r="B1070" s="33" t="s">
        <v>58</v>
      </c>
      <c r="C1070" s="33" t="s">
        <v>26</v>
      </c>
      <c r="D1070" s="33" t="s">
        <v>52</v>
      </c>
      <c r="E1070" s="33" t="s">
        <v>53</v>
      </c>
      <c r="F1070" s="33"/>
      <c r="G1070" s="50"/>
    </row>
    <row r="1071" spans="1:7" ht="15.75" thickBot="1" x14ac:dyDescent="0.3">
      <c r="A1071" s="34" t="s">
        <v>28</v>
      </c>
      <c r="B1071" s="35" t="s">
        <v>29</v>
      </c>
      <c r="C1071" s="51">
        <v>45084</v>
      </c>
      <c r="D1071" s="34" t="s">
        <v>30</v>
      </c>
      <c r="E1071" s="35" t="s">
        <v>31</v>
      </c>
      <c r="F1071" s="33" t="s">
        <v>32</v>
      </c>
      <c r="G1071" s="50"/>
    </row>
    <row r="1072" spans="1:7" ht="15.75" thickBot="1" x14ac:dyDescent="0.3">
      <c r="A1072" s="39"/>
      <c r="B1072" s="35" t="s">
        <v>33</v>
      </c>
      <c r="C1072" s="52">
        <f>IF(C1071="","",IF(AND(MONTH(C1071)&gt;=1,MONTH(C1071)&lt;=3),1,IF(AND(MONTH(C1071)&gt;=4,MONTH(C1071)&lt;=6),2,IF(AND(MONTH(C1071)&gt;=7,MONTH(C1071)&lt;=9),3,4))))</f>
        <v>2</v>
      </c>
      <c r="D1072" s="39"/>
      <c r="E1072" s="35" t="s">
        <v>34</v>
      </c>
      <c r="F1072" s="33" t="s">
        <v>35</v>
      </c>
      <c r="G1072" s="50"/>
    </row>
    <row r="1073" spans="1:7" ht="15.75" thickBot="1" x14ac:dyDescent="0.3">
      <c r="A1073" s="39"/>
      <c r="B1073" s="35" t="s">
        <v>36</v>
      </c>
      <c r="C1073" s="51">
        <v>45093</v>
      </c>
      <c r="D1073" s="39"/>
      <c r="E1073" s="35" t="s">
        <v>37</v>
      </c>
      <c r="F1073" s="33" t="s">
        <v>35</v>
      </c>
      <c r="G1073" s="50"/>
    </row>
    <row r="1074" spans="1:7" ht="15.75" thickBot="1" x14ac:dyDescent="0.3">
      <c r="A1074" s="39"/>
      <c r="B1074" s="35" t="s">
        <v>33</v>
      </c>
      <c r="C1074" s="52">
        <f>IF(C1073="","",IF(AND(MONTH(C1073)&gt;=1,MONTH(C1073)&lt;=3),1,IF(AND(MONTH(C1073)&gt;=4,MONTH(C1073)&lt;=6),2,IF(AND(MONTH(C1073)&gt;=7,MONTH(C1073)&lt;=9),3,4))))</f>
        <v>2</v>
      </c>
      <c r="D1074" s="39"/>
      <c r="E1074" s="35" t="s">
        <v>38</v>
      </c>
      <c r="F1074" s="33" t="s">
        <v>35</v>
      </c>
      <c r="G1074" s="50"/>
    </row>
    <row r="1075" spans="1:7" ht="15.75" thickBot="1" x14ac:dyDescent="0.3">
      <c r="A1075" s="50"/>
      <c r="B1075" s="50"/>
      <c r="C1075" s="50"/>
      <c r="D1075" s="50"/>
      <c r="E1075" s="50"/>
      <c r="F1075" s="50"/>
      <c r="G1075" s="50"/>
    </row>
    <row r="1076" spans="1:7" ht="15.75" thickBot="1" x14ac:dyDescent="0.3">
      <c r="A1076" s="41" t="s">
        <v>39</v>
      </c>
      <c r="B1076" s="41" t="s">
        <v>40</v>
      </c>
      <c r="C1076" s="41" t="s">
        <v>41</v>
      </c>
      <c r="D1076" s="41" t="s">
        <v>42</v>
      </c>
      <c r="E1076" s="41" t="s">
        <v>43</v>
      </c>
      <c r="F1076" s="41" t="s">
        <v>44</v>
      </c>
      <c r="G1076" s="50"/>
    </row>
    <row r="1077" spans="1:7" ht="33.75" x14ac:dyDescent="0.25">
      <c r="A1077" s="42">
        <v>47131803</v>
      </c>
      <c r="B1077" s="43" t="str">
        <f t="shared" ref="B1077:B1092" ca="1" si="21">IFERROR(INDEX(UNSPSCDes,MATCH(INDIRECT(ADDRESS(ROW(),COLUMN()-1,4)),UNSPSCCode,0)),"")</f>
        <v>Desinfectantes para uso doméstico</v>
      </c>
      <c r="C1077" s="42" t="s">
        <v>45</v>
      </c>
      <c r="D1077" s="42">
        <v>6</v>
      </c>
      <c r="E1077" s="45">
        <v>1100</v>
      </c>
      <c r="F1077" s="46">
        <f t="shared" ref="F1077:F1092" ca="1" si="22">INDIRECT(ADDRESS(ROW(),COLUMN()-2,4))*INDIRECT(ADDRESS(ROW(),COLUMN()-1,4))</f>
        <v>6600</v>
      </c>
      <c r="G1077" s="50"/>
    </row>
    <row r="1078" spans="1:7" ht="33.75" x14ac:dyDescent="0.25">
      <c r="A1078" s="42">
        <v>47131803</v>
      </c>
      <c r="B1078" s="43" t="str">
        <f t="shared" ca="1" si="21"/>
        <v>Desinfectantes para uso doméstico</v>
      </c>
      <c r="C1078" s="42" t="s">
        <v>45</v>
      </c>
      <c r="D1078" s="42">
        <v>2</v>
      </c>
      <c r="E1078" s="45">
        <v>1062</v>
      </c>
      <c r="F1078" s="46">
        <f t="shared" ca="1" si="22"/>
        <v>2124</v>
      </c>
      <c r="G1078" s="50"/>
    </row>
    <row r="1079" spans="1:7" ht="33.75" x14ac:dyDescent="0.25">
      <c r="A1079" s="42">
        <v>47131803</v>
      </c>
      <c r="B1079" s="43" t="str">
        <f t="shared" ca="1" si="21"/>
        <v>Desinfectantes para uso doméstico</v>
      </c>
      <c r="C1079" s="42" t="s">
        <v>45</v>
      </c>
      <c r="D1079" s="42">
        <v>8</v>
      </c>
      <c r="E1079" s="45">
        <v>1100</v>
      </c>
      <c r="F1079" s="46">
        <f t="shared" ca="1" si="22"/>
        <v>8800</v>
      </c>
      <c r="G1079" s="50"/>
    </row>
    <row r="1080" spans="1:7" ht="33.75" x14ac:dyDescent="0.25">
      <c r="A1080" s="42">
        <v>47131803</v>
      </c>
      <c r="B1080" s="43" t="str">
        <f t="shared" ca="1" si="21"/>
        <v>Desinfectantes para uso doméstico</v>
      </c>
      <c r="C1080" s="42" t="s">
        <v>46</v>
      </c>
      <c r="D1080" s="42">
        <v>5</v>
      </c>
      <c r="E1080" s="45">
        <v>248</v>
      </c>
      <c r="F1080" s="46">
        <f t="shared" ca="1" si="22"/>
        <v>1240</v>
      </c>
      <c r="G1080" s="50"/>
    </row>
    <row r="1081" spans="1:7" ht="22.5" x14ac:dyDescent="0.25">
      <c r="A1081" s="42">
        <v>42132205</v>
      </c>
      <c r="B1081" s="43" t="str">
        <f t="shared" ca="1" si="21"/>
        <v>Guantes de cirugía</v>
      </c>
      <c r="C1081" s="42" t="s">
        <v>45</v>
      </c>
      <c r="D1081" s="42">
        <v>20</v>
      </c>
      <c r="E1081" s="45">
        <v>260</v>
      </c>
      <c r="F1081" s="46">
        <f t="shared" ca="1" si="22"/>
        <v>5200</v>
      </c>
      <c r="G1081" s="50"/>
    </row>
    <row r="1082" spans="1:7" ht="22.5" x14ac:dyDescent="0.25">
      <c r="A1082" s="42">
        <v>42132205</v>
      </c>
      <c r="B1082" s="43" t="str">
        <f t="shared" ca="1" si="21"/>
        <v>Guantes de cirugía</v>
      </c>
      <c r="C1082" s="42" t="s">
        <v>46</v>
      </c>
      <c r="D1082" s="42">
        <v>6</v>
      </c>
      <c r="E1082" s="45">
        <v>55</v>
      </c>
      <c r="F1082" s="46">
        <f t="shared" ca="1" si="22"/>
        <v>330</v>
      </c>
      <c r="G1082" s="50"/>
    </row>
    <row r="1083" spans="1:7" ht="22.5" x14ac:dyDescent="0.25">
      <c r="A1083" s="42">
        <v>53131626</v>
      </c>
      <c r="B1083" s="43" t="str">
        <f t="shared" ca="1" si="21"/>
        <v>Desinfectante de manos</v>
      </c>
      <c r="C1083" s="42" t="s">
        <v>45</v>
      </c>
      <c r="D1083" s="42">
        <v>2</v>
      </c>
      <c r="E1083" s="45">
        <v>700</v>
      </c>
      <c r="F1083" s="46">
        <f t="shared" ca="1" si="22"/>
        <v>1400</v>
      </c>
      <c r="G1083" s="50"/>
    </row>
    <row r="1084" spans="1:7" ht="33.75" x14ac:dyDescent="0.25">
      <c r="A1084" s="42">
        <v>47131803</v>
      </c>
      <c r="B1084" s="43" t="str">
        <f t="shared" ca="1" si="21"/>
        <v>Desinfectantes para uso doméstico</v>
      </c>
      <c r="C1084" s="42" t="s">
        <v>46</v>
      </c>
      <c r="D1084" s="42">
        <v>12</v>
      </c>
      <c r="E1084" s="45">
        <v>400</v>
      </c>
      <c r="F1084" s="46">
        <f t="shared" ca="1" si="22"/>
        <v>4800</v>
      </c>
      <c r="G1084" s="50"/>
    </row>
    <row r="1085" spans="1:7" ht="22.5" x14ac:dyDescent="0.25">
      <c r="A1085" s="42">
        <v>47131611</v>
      </c>
      <c r="B1085" s="43" t="str">
        <f t="shared" ca="1" si="21"/>
        <v>Recogedor de basura</v>
      </c>
      <c r="C1085" s="42" t="s">
        <v>46</v>
      </c>
      <c r="D1085" s="42">
        <v>2</v>
      </c>
      <c r="E1085" s="45">
        <v>112</v>
      </c>
      <c r="F1085" s="46">
        <f t="shared" ca="1" si="22"/>
        <v>224</v>
      </c>
      <c r="G1085" s="50"/>
    </row>
    <row r="1086" spans="1:7" ht="22.5" x14ac:dyDescent="0.25">
      <c r="A1086" s="42">
        <v>47121701</v>
      </c>
      <c r="B1086" s="43" t="str">
        <f t="shared" ca="1" si="21"/>
        <v>Bolsas de basura</v>
      </c>
      <c r="C1086" s="42" t="s">
        <v>47</v>
      </c>
      <c r="D1086" s="42">
        <v>12</v>
      </c>
      <c r="E1086" s="45">
        <v>130</v>
      </c>
      <c r="F1086" s="46">
        <f t="shared" ca="1" si="22"/>
        <v>1560</v>
      </c>
      <c r="G1086" s="50"/>
    </row>
    <row r="1087" spans="1:7" ht="22.5" x14ac:dyDescent="0.25">
      <c r="A1087" s="42">
        <v>47131605</v>
      </c>
      <c r="B1087" s="43" t="str">
        <f t="shared" ca="1" si="21"/>
        <v>Cepillos de limpieza</v>
      </c>
      <c r="C1087" s="42" t="s">
        <v>46</v>
      </c>
      <c r="D1087" s="42">
        <v>3</v>
      </c>
      <c r="E1087" s="45">
        <v>250</v>
      </c>
      <c r="F1087" s="46">
        <f t="shared" ca="1" si="22"/>
        <v>750</v>
      </c>
      <c r="G1087" s="50"/>
    </row>
    <row r="1088" spans="1:7" ht="22.5" x14ac:dyDescent="0.25">
      <c r="A1088" s="42">
        <v>47131810</v>
      </c>
      <c r="B1088" s="43" t="str">
        <f t="shared" ca="1" si="21"/>
        <v>Productos para el lavaplatos</v>
      </c>
      <c r="C1088" s="42" t="s">
        <v>46</v>
      </c>
      <c r="D1088" s="42">
        <v>17</v>
      </c>
      <c r="E1088" s="45">
        <v>20</v>
      </c>
      <c r="F1088" s="46">
        <f t="shared" ca="1" si="22"/>
        <v>340</v>
      </c>
      <c r="G1088" s="50"/>
    </row>
    <row r="1089" spans="1:7" ht="22.5" x14ac:dyDescent="0.25">
      <c r="A1089" s="42">
        <v>47131810</v>
      </c>
      <c r="B1089" s="43" t="str">
        <f t="shared" ca="1" si="21"/>
        <v>Productos para el lavaplatos</v>
      </c>
      <c r="C1089" s="42" t="s">
        <v>46</v>
      </c>
      <c r="D1089" s="42">
        <v>18</v>
      </c>
      <c r="E1089" s="45">
        <v>20</v>
      </c>
      <c r="F1089" s="46">
        <f t="shared" ca="1" si="22"/>
        <v>360</v>
      </c>
      <c r="G1089" s="50"/>
    </row>
    <row r="1090" spans="1:7" ht="22.5" x14ac:dyDescent="0.25">
      <c r="A1090" s="42">
        <v>47131602</v>
      </c>
      <c r="B1090" s="43" t="str">
        <f t="shared" ca="1" si="21"/>
        <v>Almohadillas para restregar</v>
      </c>
      <c r="C1090" s="42" t="s">
        <v>46</v>
      </c>
      <c r="D1090" s="42">
        <v>18</v>
      </c>
      <c r="E1090" s="45">
        <v>20</v>
      </c>
      <c r="F1090" s="46">
        <f t="shared" ca="1" si="22"/>
        <v>360</v>
      </c>
      <c r="G1090" s="50"/>
    </row>
    <row r="1091" spans="1:7" ht="22.5" x14ac:dyDescent="0.25">
      <c r="A1091" s="42">
        <v>53131626</v>
      </c>
      <c r="B1091" s="43" t="str">
        <f t="shared" ca="1" si="21"/>
        <v>Desinfectante de manos</v>
      </c>
      <c r="C1091" s="42" t="s">
        <v>71</v>
      </c>
      <c r="D1091" s="42">
        <v>30</v>
      </c>
      <c r="E1091" s="45">
        <v>120</v>
      </c>
      <c r="F1091" s="46">
        <f t="shared" ca="1" si="22"/>
        <v>3600</v>
      </c>
      <c r="G1091" s="50"/>
    </row>
    <row r="1092" spans="1:7" ht="22.5" x14ac:dyDescent="0.25">
      <c r="A1092" s="42">
        <v>53131626</v>
      </c>
      <c r="B1092" s="43" t="str">
        <f t="shared" ca="1" si="21"/>
        <v>Desinfectante de manos</v>
      </c>
      <c r="C1092" s="42" t="s">
        <v>72</v>
      </c>
      <c r="D1092" s="42">
        <v>6</v>
      </c>
      <c r="E1092" s="45">
        <v>700</v>
      </c>
      <c r="F1092" s="46">
        <f t="shared" ca="1" si="22"/>
        <v>4200</v>
      </c>
      <c r="G1092" s="50"/>
    </row>
    <row r="1093" spans="1:7" x14ac:dyDescent="0.25">
      <c r="A1093" s="50"/>
      <c r="B1093" s="50"/>
      <c r="C1093" s="50"/>
      <c r="D1093" s="50"/>
      <c r="E1093" s="54" t="s">
        <v>49</v>
      </c>
      <c r="F1093" s="49">
        <f ca="1">SUM(Table374[MONTO TOTAL ESTIMADO])</f>
        <v>41888</v>
      </c>
      <c r="G1093" s="50"/>
    </row>
    <row r="1094" spans="1:7" ht="17.25" thickBot="1" x14ac:dyDescent="0.3">
      <c r="A1094" s="30"/>
      <c r="B1094" s="30"/>
      <c r="C1094" s="30"/>
      <c r="D1094" s="30"/>
      <c r="E1094" s="30"/>
      <c r="F1094" s="30"/>
      <c r="G1094" s="30"/>
    </row>
    <row r="1095" spans="1:7" ht="34.5" thickBot="1" x14ac:dyDescent="0.3">
      <c r="A1095" s="31" t="s">
        <v>18</v>
      </c>
      <c r="B1095" s="31" t="s">
        <v>19</v>
      </c>
      <c r="C1095" s="31" t="s">
        <v>20</v>
      </c>
      <c r="D1095" s="31" t="s">
        <v>21</v>
      </c>
      <c r="E1095" s="31" t="s">
        <v>22</v>
      </c>
      <c r="F1095" s="31" t="s">
        <v>23</v>
      </c>
      <c r="G1095" s="50"/>
    </row>
    <row r="1096" spans="1:7" ht="15.75" thickBot="1" x14ac:dyDescent="0.3">
      <c r="A1096" s="33" t="s">
        <v>54</v>
      </c>
      <c r="B1096" s="33" t="s">
        <v>55</v>
      </c>
      <c r="C1096" s="33" t="s">
        <v>26</v>
      </c>
      <c r="D1096" s="33" t="s">
        <v>52</v>
      </c>
      <c r="E1096" s="33" t="s">
        <v>56</v>
      </c>
      <c r="F1096" s="33"/>
      <c r="G1096" s="50"/>
    </row>
    <row r="1097" spans="1:7" ht="15.75" thickBot="1" x14ac:dyDescent="0.3">
      <c r="A1097" s="34" t="s">
        <v>28</v>
      </c>
      <c r="B1097" s="35" t="s">
        <v>29</v>
      </c>
      <c r="C1097" s="51">
        <v>45091</v>
      </c>
      <c r="D1097" s="34" t="s">
        <v>30</v>
      </c>
      <c r="E1097" s="35" t="s">
        <v>31</v>
      </c>
      <c r="F1097" s="33" t="s">
        <v>32</v>
      </c>
      <c r="G1097" s="50"/>
    </row>
    <row r="1098" spans="1:7" ht="15.75" thickBot="1" x14ac:dyDescent="0.3">
      <c r="A1098" s="39"/>
      <c r="B1098" s="35" t="s">
        <v>33</v>
      </c>
      <c r="C1098" s="52">
        <f>IF(C1097="","",IF(AND(MONTH(C1097)&gt;=1,MONTH(C1097)&lt;=3),1,IF(AND(MONTH(C1097)&gt;=4,MONTH(C1097)&lt;=6),2,IF(AND(MONTH(C1097)&gt;=7,MONTH(C1097)&lt;=9),3,4))))</f>
        <v>2</v>
      </c>
      <c r="D1098" s="39"/>
      <c r="E1098" s="35" t="s">
        <v>34</v>
      </c>
      <c r="F1098" s="33" t="s">
        <v>35</v>
      </c>
      <c r="G1098" s="50"/>
    </row>
    <row r="1099" spans="1:7" ht="15.75" thickBot="1" x14ac:dyDescent="0.3">
      <c r="A1099" s="39"/>
      <c r="B1099" s="35" t="s">
        <v>36</v>
      </c>
      <c r="C1099" s="51">
        <v>45099</v>
      </c>
      <c r="D1099" s="39"/>
      <c r="E1099" s="35" t="s">
        <v>37</v>
      </c>
      <c r="F1099" s="33" t="s">
        <v>35</v>
      </c>
      <c r="G1099" s="50"/>
    </row>
    <row r="1100" spans="1:7" ht="15.75" thickBot="1" x14ac:dyDescent="0.3">
      <c r="A1100" s="39"/>
      <c r="B1100" s="35" t="s">
        <v>33</v>
      </c>
      <c r="C1100" s="52">
        <f>IF(C1099="","",IF(AND(MONTH(C1099)&gt;=1,MONTH(C1099)&lt;=3),1,IF(AND(MONTH(C1099)&gt;=4,MONTH(C1099)&lt;=6),2,IF(AND(MONTH(C1099)&gt;=7,MONTH(C1099)&lt;=9),3,4))))</f>
        <v>2</v>
      </c>
      <c r="D1100" s="39"/>
      <c r="E1100" s="35" t="s">
        <v>38</v>
      </c>
      <c r="F1100" s="33" t="s">
        <v>35</v>
      </c>
      <c r="G1100" s="50"/>
    </row>
    <row r="1101" spans="1:7" ht="15.75" thickBot="1" x14ac:dyDescent="0.3">
      <c r="A1101" s="50"/>
      <c r="B1101" s="50"/>
      <c r="C1101" s="50"/>
      <c r="D1101" s="50"/>
      <c r="E1101" s="50"/>
      <c r="F1101" s="50"/>
      <c r="G1101" s="50"/>
    </row>
    <row r="1102" spans="1:7" ht="15.75" thickBot="1" x14ac:dyDescent="0.3">
      <c r="A1102" s="41" t="s">
        <v>39</v>
      </c>
      <c r="B1102" s="41" t="s">
        <v>40</v>
      </c>
      <c r="C1102" s="41" t="s">
        <v>41</v>
      </c>
      <c r="D1102" s="41" t="s">
        <v>42</v>
      </c>
      <c r="E1102" s="41" t="s">
        <v>43</v>
      </c>
      <c r="F1102" s="41" t="s">
        <v>44</v>
      </c>
      <c r="G1102" s="50"/>
    </row>
    <row r="1103" spans="1:7" x14ac:dyDescent="0.25">
      <c r="A1103" s="42">
        <v>50202301</v>
      </c>
      <c r="B1103" s="43" t="str">
        <f ca="1">IFERROR(INDEX(UNSPSCDes,MATCH(INDIRECT(ADDRESS(ROW(),COLUMN()-1,4)),UNSPSCCode,0)),"")</f>
        <v>Agua</v>
      </c>
      <c r="C1103" s="42" t="s">
        <v>47</v>
      </c>
      <c r="D1103" s="42">
        <v>175</v>
      </c>
      <c r="E1103" s="45">
        <v>140</v>
      </c>
      <c r="F1103" s="46">
        <f ca="1">INDIRECT(ADDRESS(ROW(),COLUMN()-2,4))*INDIRECT(ADDRESS(ROW(),COLUMN()-1,4))</f>
        <v>24500</v>
      </c>
      <c r="G1103" s="50"/>
    </row>
    <row r="1104" spans="1:7" x14ac:dyDescent="0.25">
      <c r="A1104" s="42">
        <v>50202301</v>
      </c>
      <c r="B1104" s="43" t="str">
        <f ca="1">IFERROR(INDEX(UNSPSCDes,MATCH(INDIRECT(ADDRESS(ROW(),COLUMN()-1,4)),UNSPSCCode,0)),"")</f>
        <v>Agua</v>
      </c>
      <c r="C1104" s="42" t="s">
        <v>46</v>
      </c>
      <c r="D1104" s="42">
        <v>1200</v>
      </c>
      <c r="E1104" s="45">
        <v>70</v>
      </c>
      <c r="F1104" s="46">
        <f ca="1">INDIRECT(ADDRESS(ROW(),COLUMN()-2,4))*INDIRECT(ADDRESS(ROW(),COLUMN()-1,4))</f>
        <v>84000</v>
      </c>
      <c r="G1104" s="50"/>
    </row>
    <row r="1105" spans="1:7" x14ac:dyDescent="0.25">
      <c r="A1105" s="50"/>
      <c r="B1105" s="50"/>
      <c r="C1105" s="50"/>
      <c r="D1105" s="50"/>
      <c r="E1105" s="54" t="s">
        <v>49</v>
      </c>
      <c r="F1105" s="49">
        <f ca="1">SUM(Table375[MONTO TOTAL ESTIMADO])</f>
        <v>108500</v>
      </c>
      <c r="G1105" s="50"/>
    </row>
    <row r="1106" spans="1:7" ht="17.25" thickBot="1" x14ac:dyDescent="0.3">
      <c r="A1106" s="30"/>
      <c r="B1106" s="30"/>
      <c r="C1106" s="30"/>
      <c r="D1106" s="30"/>
      <c r="E1106" s="30"/>
      <c r="F1106" s="30"/>
      <c r="G1106" s="30"/>
    </row>
    <row r="1107" spans="1:7" ht="34.5" thickBot="1" x14ac:dyDescent="0.3">
      <c r="A1107" s="31" t="s">
        <v>18</v>
      </c>
      <c r="B1107" s="31" t="s">
        <v>19</v>
      </c>
      <c r="C1107" s="31" t="s">
        <v>20</v>
      </c>
      <c r="D1107" s="31" t="s">
        <v>21</v>
      </c>
      <c r="E1107" s="31" t="s">
        <v>22</v>
      </c>
      <c r="F1107" s="31" t="s">
        <v>23</v>
      </c>
      <c r="G1107" s="50"/>
    </row>
    <row r="1108" spans="1:7" ht="15.75" thickBot="1" x14ac:dyDescent="0.3">
      <c r="A1108" s="33" t="s">
        <v>60</v>
      </c>
      <c r="B1108" s="33" t="s">
        <v>61</v>
      </c>
      <c r="C1108" s="33" t="s">
        <v>26</v>
      </c>
      <c r="D1108" s="33" t="s">
        <v>27</v>
      </c>
      <c r="E1108" s="33" t="s">
        <v>53</v>
      </c>
      <c r="F1108" s="33"/>
      <c r="G1108" s="50"/>
    </row>
    <row r="1109" spans="1:7" ht="15.75" thickBot="1" x14ac:dyDescent="0.3">
      <c r="A1109" s="34" t="s">
        <v>28</v>
      </c>
      <c r="B1109" s="35" t="s">
        <v>29</v>
      </c>
      <c r="C1109" s="51">
        <v>45086</v>
      </c>
      <c r="D1109" s="34" t="s">
        <v>30</v>
      </c>
      <c r="E1109" s="35" t="s">
        <v>31</v>
      </c>
      <c r="F1109" s="33" t="s">
        <v>32</v>
      </c>
      <c r="G1109" s="50"/>
    </row>
    <row r="1110" spans="1:7" ht="15.75" thickBot="1" x14ac:dyDescent="0.3">
      <c r="A1110" s="39"/>
      <c r="B1110" s="35" t="s">
        <v>33</v>
      </c>
      <c r="C1110" s="52">
        <f>IF(C1109="","",IF(AND(MONTH(C1109)&gt;=1,MONTH(C1109)&lt;=3),1,IF(AND(MONTH(C1109)&gt;=4,MONTH(C1109)&lt;=6),2,IF(AND(MONTH(C1109)&gt;=7,MONTH(C1109)&lt;=9),3,4))))</f>
        <v>2</v>
      </c>
      <c r="D1110" s="39"/>
      <c r="E1110" s="35" t="s">
        <v>34</v>
      </c>
      <c r="F1110" s="33" t="s">
        <v>35</v>
      </c>
      <c r="G1110" s="50"/>
    </row>
    <row r="1111" spans="1:7" ht="15.75" thickBot="1" x14ac:dyDescent="0.3">
      <c r="A1111" s="39"/>
      <c r="B1111" s="35" t="s">
        <v>36</v>
      </c>
      <c r="C1111" s="51">
        <v>45093</v>
      </c>
      <c r="D1111" s="39"/>
      <c r="E1111" s="35" t="s">
        <v>37</v>
      </c>
      <c r="F1111" s="33" t="s">
        <v>35</v>
      </c>
      <c r="G1111" s="50"/>
    </row>
    <row r="1112" spans="1:7" ht="15.75" thickBot="1" x14ac:dyDescent="0.3">
      <c r="A1112" s="39"/>
      <c r="B1112" s="35" t="s">
        <v>33</v>
      </c>
      <c r="C1112" s="52">
        <f>IF(C1111="","",IF(AND(MONTH(C1111)&gt;=1,MONTH(C1111)&lt;=3),1,IF(AND(MONTH(C1111)&gt;=4,MONTH(C1111)&lt;=6),2,IF(AND(MONTH(C1111)&gt;=7,MONTH(C1111)&lt;=9),3,4))))</f>
        <v>2</v>
      </c>
      <c r="D1112" s="39"/>
      <c r="E1112" s="35" t="s">
        <v>38</v>
      </c>
      <c r="F1112" s="33" t="s">
        <v>35</v>
      </c>
      <c r="G1112" s="50"/>
    </row>
    <row r="1113" spans="1:7" ht="15.75" thickBot="1" x14ac:dyDescent="0.3">
      <c r="A1113" s="50"/>
      <c r="B1113" s="50"/>
      <c r="C1113" s="50"/>
      <c r="D1113" s="50"/>
      <c r="E1113" s="50"/>
      <c r="F1113" s="50"/>
      <c r="G1113" s="50"/>
    </row>
    <row r="1114" spans="1:7" ht="15.75" thickBot="1" x14ac:dyDescent="0.3">
      <c r="A1114" s="41" t="s">
        <v>39</v>
      </c>
      <c r="B1114" s="41" t="s">
        <v>40</v>
      </c>
      <c r="C1114" s="41" t="s">
        <v>41</v>
      </c>
      <c r="D1114" s="41" t="s">
        <v>42</v>
      </c>
      <c r="E1114" s="41" t="s">
        <v>43</v>
      </c>
      <c r="F1114" s="41" t="s">
        <v>44</v>
      </c>
      <c r="G1114" s="50"/>
    </row>
    <row r="1115" spans="1:7" ht="33.75" x14ac:dyDescent="0.25">
      <c r="A1115" s="42">
        <v>44103103</v>
      </c>
      <c r="B1115" s="43" t="str">
        <f t="shared" ref="B1115:B1131" ca="1" si="23">IFERROR(INDEX(UNSPSCDes,MATCH(INDIRECT(ADDRESS(ROW(),COLUMN()-1,4)),UNSPSCCode,0)),"")</f>
        <v>Tóner para impresoras o fax</v>
      </c>
      <c r="C1115" s="42" t="s">
        <v>46</v>
      </c>
      <c r="D1115" s="42">
        <v>10</v>
      </c>
      <c r="E1115" s="45">
        <v>1100</v>
      </c>
      <c r="F1115" s="46">
        <f t="shared" ref="F1115:F1131" ca="1" si="24">INDIRECT(ADDRESS(ROW(),COLUMN()-2,4))*INDIRECT(ADDRESS(ROW(),COLUMN()-1,4))</f>
        <v>11000</v>
      </c>
      <c r="G1115" s="50"/>
    </row>
    <row r="1116" spans="1:7" ht="33.75" x14ac:dyDescent="0.25">
      <c r="A1116" s="42">
        <v>44103103</v>
      </c>
      <c r="B1116" s="43" t="str">
        <f t="shared" ca="1" si="23"/>
        <v>Tóner para impresoras o fax</v>
      </c>
      <c r="C1116" s="42" t="s">
        <v>46</v>
      </c>
      <c r="D1116" s="42">
        <v>4</v>
      </c>
      <c r="E1116" s="45">
        <v>6300</v>
      </c>
      <c r="F1116" s="46">
        <f t="shared" ca="1" si="24"/>
        <v>25200</v>
      </c>
      <c r="G1116" s="50"/>
    </row>
    <row r="1117" spans="1:7" ht="33.75" x14ac:dyDescent="0.25">
      <c r="A1117" s="42">
        <v>44103103</v>
      </c>
      <c r="B1117" s="43" t="str">
        <f t="shared" ca="1" si="23"/>
        <v>Tóner para impresoras o fax</v>
      </c>
      <c r="C1117" s="42" t="s">
        <v>46</v>
      </c>
      <c r="D1117" s="42">
        <v>4</v>
      </c>
      <c r="E1117" s="45">
        <v>6300</v>
      </c>
      <c r="F1117" s="46">
        <f t="shared" ca="1" si="24"/>
        <v>25200</v>
      </c>
      <c r="G1117" s="50"/>
    </row>
    <row r="1118" spans="1:7" ht="33.75" x14ac:dyDescent="0.25">
      <c r="A1118" s="42">
        <v>44103103</v>
      </c>
      <c r="B1118" s="43" t="str">
        <f t="shared" ca="1" si="23"/>
        <v>Tóner para impresoras o fax</v>
      </c>
      <c r="C1118" s="42" t="s">
        <v>46</v>
      </c>
      <c r="D1118" s="42">
        <v>4</v>
      </c>
      <c r="E1118" s="45">
        <v>4470</v>
      </c>
      <c r="F1118" s="46">
        <f t="shared" ca="1" si="24"/>
        <v>17880</v>
      </c>
      <c r="G1118" s="50"/>
    </row>
    <row r="1119" spans="1:7" ht="33.75" x14ac:dyDescent="0.25">
      <c r="A1119" s="42">
        <v>44103103</v>
      </c>
      <c r="B1119" s="43" t="str">
        <f t="shared" ca="1" si="23"/>
        <v>Tóner para impresoras o fax</v>
      </c>
      <c r="C1119" s="42" t="s">
        <v>46</v>
      </c>
      <c r="D1119" s="42">
        <v>4</v>
      </c>
      <c r="E1119" s="45">
        <v>6300</v>
      </c>
      <c r="F1119" s="46">
        <f t="shared" ca="1" si="24"/>
        <v>25200</v>
      </c>
      <c r="G1119" s="50"/>
    </row>
    <row r="1120" spans="1:7" ht="33.75" x14ac:dyDescent="0.25">
      <c r="A1120" s="42">
        <v>44103103</v>
      </c>
      <c r="B1120" s="43" t="str">
        <f t="shared" ca="1" si="23"/>
        <v>Tóner para impresoras o fax</v>
      </c>
      <c r="C1120" s="42" t="s">
        <v>46</v>
      </c>
      <c r="D1120" s="42">
        <v>1</v>
      </c>
      <c r="E1120" s="45">
        <v>5885</v>
      </c>
      <c r="F1120" s="46">
        <f t="shared" ca="1" si="24"/>
        <v>5885</v>
      </c>
      <c r="G1120" s="50"/>
    </row>
    <row r="1121" spans="1:7" ht="33.75" x14ac:dyDescent="0.25">
      <c r="A1121" s="42">
        <v>44103103</v>
      </c>
      <c r="B1121" s="43" t="str">
        <f t="shared" ca="1" si="23"/>
        <v>Tóner para impresoras o fax</v>
      </c>
      <c r="C1121" s="42" t="s">
        <v>46</v>
      </c>
      <c r="D1121" s="42">
        <v>6</v>
      </c>
      <c r="E1121" s="45">
        <v>9350</v>
      </c>
      <c r="F1121" s="46">
        <f t="shared" ca="1" si="24"/>
        <v>56100</v>
      </c>
      <c r="G1121" s="50"/>
    </row>
    <row r="1122" spans="1:7" ht="33.75" x14ac:dyDescent="0.25">
      <c r="A1122" s="42">
        <v>44103103</v>
      </c>
      <c r="B1122" s="43" t="str">
        <f t="shared" ca="1" si="23"/>
        <v>Tóner para impresoras o fax</v>
      </c>
      <c r="C1122" s="42" t="s">
        <v>46</v>
      </c>
      <c r="D1122" s="42">
        <v>6</v>
      </c>
      <c r="E1122" s="45">
        <v>11950</v>
      </c>
      <c r="F1122" s="46">
        <f t="shared" ca="1" si="24"/>
        <v>71700</v>
      </c>
      <c r="G1122" s="50"/>
    </row>
    <row r="1123" spans="1:7" ht="33.75" x14ac:dyDescent="0.25">
      <c r="A1123" s="42">
        <v>44103103</v>
      </c>
      <c r="B1123" s="43" t="str">
        <f t="shared" ca="1" si="23"/>
        <v>Tóner para impresoras o fax</v>
      </c>
      <c r="C1123" s="42" t="s">
        <v>46</v>
      </c>
      <c r="D1123" s="42">
        <v>6</v>
      </c>
      <c r="E1123" s="45">
        <v>11950</v>
      </c>
      <c r="F1123" s="46">
        <f t="shared" ca="1" si="24"/>
        <v>71700</v>
      </c>
      <c r="G1123" s="50"/>
    </row>
    <row r="1124" spans="1:7" ht="33.75" x14ac:dyDescent="0.25">
      <c r="A1124" s="42">
        <v>44103103</v>
      </c>
      <c r="B1124" s="43" t="str">
        <f t="shared" ca="1" si="23"/>
        <v>Tóner para impresoras o fax</v>
      </c>
      <c r="C1124" s="42" t="s">
        <v>46</v>
      </c>
      <c r="D1124" s="42">
        <v>6</v>
      </c>
      <c r="E1124" s="45">
        <v>11950</v>
      </c>
      <c r="F1124" s="46">
        <f t="shared" ca="1" si="24"/>
        <v>71700</v>
      </c>
      <c r="G1124" s="50"/>
    </row>
    <row r="1125" spans="1:7" ht="33.75" x14ac:dyDescent="0.25">
      <c r="A1125" s="42">
        <v>44103103</v>
      </c>
      <c r="B1125" s="43" t="str">
        <f t="shared" ca="1" si="23"/>
        <v>Tóner para impresoras o fax</v>
      </c>
      <c r="C1125" s="42" t="s">
        <v>46</v>
      </c>
      <c r="D1125" s="42">
        <v>5</v>
      </c>
      <c r="E1125" s="45">
        <v>4100</v>
      </c>
      <c r="F1125" s="46">
        <f t="shared" ca="1" si="24"/>
        <v>20500</v>
      </c>
      <c r="G1125" s="50"/>
    </row>
    <row r="1126" spans="1:7" ht="33.75" x14ac:dyDescent="0.25">
      <c r="A1126" s="42">
        <v>44103103</v>
      </c>
      <c r="B1126" s="43" t="str">
        <f t="shared" ca="1" si="23"/>
        <v>Tóner para impresoras o fax</v>
      </c>
      <c r="C1126" s="42" t="s">
        <v>46</v>
      </c>
      <c r="D1126" s="42">
        <v>5</v>
      </c>
      <c r="E1126" s="45">
        <v>4500</v>
      </c>
      <c r="F1126" s="46">
        <f t="shared" ca="1" si="24"/>
        <v>22500</v>
      </c>
      <c r="G1126" s="50"/>
    </row>
    <row r="1127" spans="1:7" ht="33.75" x14ac:dyDescent="0.25">
      <c r="A1127" s="42">
        <v>44103103</v>
      </c>
      <c r="B1127" s="43" t="str">
        <f t="shared" ca="1" si="23"/>
        <v>Tóner para impresoras o fax</v>
      </c>
      <c r="C1127" s="42" t="s">
        <v>46</v>
      </c>
      <c r="D1127" s="42">
        <v>5</v>
      </c>
      <c r="E1127" s="45">
        <v>4500</v>
      </c>
      <c r="F1127" s="46">
        <f t="shared" ca="1" si="24"/>
        <v>22500</v>
      </c>
      <c r="G1127" s="50"/>
    </row>
    <row r="1128" spans="1:7" ht="33.75" x14ac:dyDescent="0.25">
      <c r="A1128" s="42">
        <v>44103103</v>
      </c>
      <c r="B1128" s="43" t="str">
        <f t="shared" ca="1" si="23"/>
        <v>Tóner para impresoras o fax</v>
      </c>
      <c r="C1128" s="42" t="s">
        <v>46</v>
      </c>
      <c r="D1128" s="42">
        <v>5</v>
      </c>
      <c r="E1128" s="45">
        <v>5100</v>
      </c>
      <c r="F1128" s="46">
        <f t="shared" ca="1" si="24"/>
        <v>25500</v>
      </c>
      <c r="G1128" s="50"/>
    </row>
    <row r="1129" spans="1:7" ht="33.75" x14ac:dyDescent="0.25">
      <c r="A1129" s="42">
        <v>44103103</v>
      </c>
      <c r="B1129" s="43" t="str">
        <f t="shared" ca="1" si="23"/>
        <v>Tóner para impresoras o fax</v>
      </c>
      <c r="C1129" s="42" t="s">
        <v>46</v>
      </c>
      <c r="D1129" s="42">
        <v>5</v>
      </c>
      <c r="E1129" s="45">
        <v>5100</v>
      </c>
      <c r="F1129" s="46">
        <f t="shared" ca="1" si="24"/>
        <v>25500</v>
      </c>
      <c r="G1129" s="50"/>
    </row>
    <row r="1130" spans="1:7" ht="33.75" x14ac:dyDescent="0.25">
      <c r="A1130" s="42">
        <v>44103103</v>
      </c>
      <c r="B1130" s="43" t="str">
        <f t="shared" ca="1" si="23"/>
        <v>Tóner para impresoras o fax</v>
      </c>
      <c r="C1130" s="42" t="s">
        <v>46</v>
      </c>
      <c r="D1130" s="42">
        <v>5</v>
      </c>
      <c r="E1130" s="45">
        <v>10872</v>
      </c>
      <c r="F1130" s="46">
        <f t="shared" ca="1" si="24"/>
        <v>54360</v>
      </c>
      <c r="G1130" s="50"/>
    </row>
    <row r="1131" spans="1:7" ht="33.75" x14ac:dyDescent="0.25">
      <c r="A1131" s="42">
        <v>44103103</v>
      </c>
      <c r="B1131" s="43" t="str">
        <f t="shared" ca="1" si="23"/>
        <v>Tóner para impresoras o fax</v>
      </c>
      <c r="C1131" s="42" t="s">
        <v>46</v>
      </c>
      <c r="D1131" s="42">
        <v>3</v>
      </c>
      <c r="E1131" s="45">
        <v>7000</v>
      </c>
      <c r="F1131" s="46">
        <f t="shared" ca="1" si="24"/>
        <v>21000</v>
      </c>
      <c r="G1131" s="50"/>
    </row>
    <row r="1132" spans="1:7" x14ac:dyDescent="0.25">
      <c r="A1132" s="50"/>
      <c r="B1132" s="50"/>
      <c r="C1132" s="50"/>
      <c r="D1132" s="50"/>
      <c r="E1132" s="54" t="s">
        <v>49</v>
      </c>
      <c r="F1132" s="49">
        <f ca="1">SUM(Table376[MONTO TOTAL ESTIMADO])</f>
        <v>573425</v>
      </c>
      <c r="G1132" s="50"/>
    </row>
    <row r="1133" spans="1:7" ht="17.25" thickBot="1" x14ac:dyDescent="0.3">
      <c r="A1133" s="30"/>
      <c r="B1133" s="30"/>
      <c r="C1133" s="30"/>
      <c r="D1133" s="30"/>
      <c r="E1133" s="30"/>
      <c r="F1133" s="30"/>
      <c r="G1133" s="30"/>
    </row>
    <row r="1134" spans="1:7" ht="34.5" thickBot="1" x14ac:dyDescent="0.3">
      <c r="A1134" s="31" t="s">
        <v>18</v>
      </c>
      <c r="B1134" s="31" t="s">
        <v>19</v>
      </c>
      <c r="C1134" s="31" t="s">
        <v>20</v>
      </c>
      <c r="D1134" s="31" t="s">
        <v>21</v>
      </c>
      <c r="E1134" s="31" t="s">
        <v>22</v>
      </c>
      <c r="F1134" s="31" t="s">
        <v>23</v>
      </c>
      <c r="G1134" s="50"/>
    </row>
    <row r="1135" spans="1:7" ht="15.75" thickBot="1" x14ac:dyDescent="0.3">
      <c r="A1135" s="33" t="s">
        <v>66</v>
      </c>
      <c r="B1135" s="33" t="s">
        <v>67</v>
      </c>
      <c r="C1135" s="33" t="s">
        <v>26</v>
      </c>
      <c r="D1135" s="33" t="s">
        <v>27</v>
      </c>
      <c r="E1135" s="33" t="s">
        <v>53</v>
      </c>
      <c r="F1135" s="33"/>
      <c r="G1135" s="50"/>
    </row>
    <row r="1136" spans="1:7" ht="15.75" thickBot="1" x14ac:dyDescent="0.3">
      <c r="A1136" s="34" t="s">
        <v>28</v>
      </c>
      <c r="B1136" s="35" t="s">
        <v>29</v>
      </c>
      <c r="C1136" s="51">
        <v>45089</v>
      </c>
      <c r="D1136" s="34" t="s">
        <v>30</v>
      </c>
      <c r="E1136" s="35" t="s">
        <v>31</v>
      </c>
      <c r="F1136" s="33" t="s">
        <v>32</v>
      </c>
      <c r="G1136" s="50"/>
    </row>
    <row r="1137" spans="1:7" ht="15.75" thickBot="1" x14ac:dyDescent="0.3">
      <c r="A1137" s="39"/>
      <c r="B1137" s="35" t="s">
        <v>33</v>
      </c>
      <c r="C1137" s="52">
        <f>IF(C1136="","",IF(AND(MONTH(C1136)&gt;=1,MONTH(C1136)&lt;=3),1,IF(AND(MONTH(C1136)&gt;=4,MONTH(C1136)&lt;=6),2,IF(AND(MONTH(C1136)&gt;=7,MONTH(C1136)&lt;=9),3,4))))</f>
        <v>2</v>
      </c>
      <c r="D1137" s="39"/>
      <c r="E1137" s="35" t="s">
        <v>34</v>
      </c>
      <c r="F1137" s="33" t="s">
        <v>35</v>
      </c>
      <c r="G1137" s="50"/>
    </row>
    <row r="1138" spans="1:7" ht="15.75" thickBot="1" x14ac:dyDescent="0.3">
      <c r="A1138" s="39"/>
      <c r="B1138" s="35" t="s">
        <v>36</v>
      </c>
      <c r="C1138" s="51">
        <v>45098</v>
      </c>
      <c r="D1138" s="39"/>
      <c r="E1138" s="35" t="s">
        <v>37</v>
      </c>
      <c r="F1138" s="33" t="s">
        <v>35</v>
      </c>
      <c r="G1138" s="50"/>
    </row>
    <row r="1139" spans="1:7" ht="15.75" thickBot="1" x14ac:dyDescent="0.3">
      <c r="A1139" s="39"/>
      <c r="B1139" s="35" t="s">
        <v>33</v>
      </c>
      <c r="C1139" s="52">
        <f>IF(C1138="","",IF(AND(MONTH(C1138)&gt;=1,MONTH(C1138)&lt;=3),1,IF(AND(MONTH(C1138)&gt;=4,MONTH(C1138)&lt;=6),2,IF(AND(MONTH(C1138)&gt;=7,MONTH(C1138)&lt;=9),3,4))))</f>
        <v>2</v>
      </c>
      <c r="D1139" s="39"/>
      <c r="E1139" s="35" t="s">
        <v>38</v>
      </c>
      <c r="F1139" s="33" t="s">
        <v>35</v>
      </c>
      <c r="G1139" s="50"/>
    </row>
    <row r="1140" spans="1:7" ht="15.75" thickBot="1" x14ac:dyDescent="0.3">
      <c r="A1140" s="50"/>
      <c r="B1140" s="50"/>
      <c r="C1140" s="50"/>
      <c r="D1140" s="50"/>
      <c r="E1140" s="50"/>
      <c r="F1140" s="50"/>
      <c r="G1140" s="50"/>
    </row>
    <row r="1141" spans="1:7" ht="15.75" thickBot="1" x14ac:dyDescent="0.3">
      <c r="A1141" s="41" t="s">
        <v>39</v>
      </c>
      <c r="B1141" s="41" t="s">
        <v>40</v>
      </c>
      <c r="C1141" s="41" t="s">
        <v>41</v>
      </c>
      <c r="D1141" s="41" t="s">
        <v>42</v>
      </c>
      <c r="E1141" s="41" t="s">
        <v>43</v>
      </c>
      <c r="F1141" s="41" t="s">
        <v>44</v>
      </c>
      <c r="G1141" s="50"/>
    </row>
    <row r="1142" spans="1:7" x14ac:dyDescent="0.25">
      <c r="A1142" s="42">
        <v>14111704</v>
      </c>
      <c r="B1142" s="43" t="str">
        <f ca="1">IFERROR(INDEX(UNSPSCDes,MATCH(INDIRECT(ADDRESS(ROW(),COLUMN()-1,4)),UNSPSCCode,0)),"")</f>
        <v>Papel higiénico</v>
      </c>
      <c r="C1142" s="42" t="s">
        <v>47</v>
      </c>
      <c r="D1142" s="42">
        <v>125</v>
      </c>
      <c r="E1142" s="45">
        <v>1440</v>
      </c>
      <c r="F1142" s="46">
        <f ca="1">INDIRECT(ADDRESS(ROW(),COLUMN()-2,4))*INDIRECT(ADDRESS(ROW(),COLUMN()-1,4))</f>
        <v>180000</v>
      </c>
      <c r="G1142" s="50"/>
    </row>
    <row r="1143" spans="1:7" x14ac:dyDescent="0.25">
      <c r="A1143" s="42">
        <v>14111704</v>
      </c>
      <c r="B1143" s="43" t="str">
        <f ca="1">IFERROR(INDEX(UNSPSCDes,MATCH(INDIRECT(ADDRESS(ROW(),COLUMN()-1,4)),UNSPSCCode,0)),"")</f>
        <v>Papel higiénico</v>
      </c>
      <c r="C1143" s="42" t="s">
        <v>47</v>
      </c>
      <c r="D1143" s="42">
        <v>88</v>
      </c>
      <c r="E1143" s="45">
        <v>3250</v>
      </c>
      <c r="F1143" s="46">
        <f ca="1">INDIRECT(ADDRESS(ROW(),COLUMN()-2,4))*INDIRECT(ADDRESS(ROW(),COLUMN()-1,4))</f>
        <v>286000</v>
      </c>
      <c r="G1143" s="50"/>
    </row>
    <row r="1144" spans="1:7" x14ac:dyDescent="0.25">
      <c r="A1144" s="42">
        <v>52121602</v>
      </c>
      <c r="B1144" s="43" t="str">
        <f ca="1">IFERROR(INDEX(UNSPSCDes,MATCH(INDIRECT(ADDRESS(ROW(),COLUMN()-1,4)),UNSPSCCode,0)),"")</f>
        <v>Servilletas</v>
      </c>
      <c r="C1144" s="42" t="s">
        <v>68</v>
      </c>
      <c r="D1144" s="42">
        <v>10</v>
      </c>
      <c r="E1144" s="45">
        <v>950</v>
      </c>
      <c r="F1144" s="46">
        <f ca="1">INDIRECT(ADDRESS(ROW(),COLUMN()-2,4))*INDIRECT(ADDRESS(ROW(),COLUMN()-1,4))</f>
        <v>9500</v>
      </c>
      <c r="G1144" s="50"/>
    </row>
    <row r="1145" spans="1:7" x14ac:dyDescent="0.25">
      <c r="A1145" s="42">
        <v>52121602</v>
      </c>
      <c r="B1145" s="43" t="str">
        <f ca="1">IFERROR(INDEX(UNSPSCDes,MATCH(INDIRECT(ADDRESS(ROW(),COLUMN()-1,4)),UNSPSCCode,0)),"")</f>
        <v>Servilletas</v>
      </c>
      <c r="C1145" s="42" t="s">
        <v>47</v>
      </c>
      <c r="D1145" s="42">
        <v>12</v>
      </c>
      <c r="E1145" s="45">
        <v>115</v>
      </c>
      <c r="F1145" s="46">
        <f ca="1">INDIRECT(ADDRESS(ROW(),COLUMN()-2,4))*INDIRECT(ADDRESS(ROW(),COLUMN()-1,4))</f>
        <v>1380</v>
      </c>
      <c r="G1145" s="50"/>
    </row>
    <row r="1146" spans="1:7" x14ac:dyDescent="0.25">
      <c r="A1146" s="50"/>
      <c r="B1146" s="50"/>
      <c r="C1146" s="50"/>
      <c r="D1146" s="50"/>
      <c r="E1146" s="54" t="s">
        <v>49</v>
      </c>
      <c r="F1146" s="49">
        <f ca="1">SUM(Table377[MONTO TOTAL ESTIMADO])</f>
        <v>476880</v>
      </c>
      <c r="G1146" s="50"/>
    </row>
    <row r="1147" spans="1:7" ht="17.25" thickBot="1" x14ac:dyDescent="0.3">
      <c r="A1147" s="30"/>
      <c r="B1147" s="30"/>
      <c r="C1147" s="30"/>
      <c r="D1147" s="30"/>
      <c r="E1147" s="30"/>
      <c r="F1147" s="30"/>
      <c r="G1147" s="30"/>
    </row>
    <row r="1148" spans="1:7" ht="34.5" thickBot="1" x14ac:dyDescent="0.3">
      <c r="A1148" s="31" t="s">
        <v>18</v>
      </c>
      <c r="B1148" s="31" t="s">
        <v>19</v>
      </c>
      <c r="C1148" s="31" t="s">
        <v>20</v>
      </c>
      <c r="D1148" s="31" t="s">
        <v>21</v>
      </c>
      <c r="E1148" s="31" t="s">
        <v>22</v>
      </c>
      <c r="F1148" s="31" t="s">
        <v>23</v>
      </c>
      <c r="G1148" s="50"/>
    </row>
    <row r="1149" spans="1:7" ht="15.75" thickBot="1" x14ac:dyDescent="0.3">
      <c r="A1149" s="33" t="s">
        <v>69</v>
      </c>
      <c r="B1149" s="33" t="s">
        <v>70</v>
      </c>
      <c r="C1149" s="33" t="s">
        <v>26</v>
      </c>
      <c r="D1149" s="33" t="s">
        <v>52</v>
      </c>
      <c r="E1149" s="33" t="s">
        <v>53</v>
      </c>
      <c r="F1149" s="33"/>
      <c r="G1149" s="50"/>
    </row>
    <row r="1150" spans="1:7" ht="15.75" thickBot="1" x14ac:dyDescent="0.3">
      <c r="A1150" s="34" t="s">
        <v>28</v>
      </c>
      <c r="B1150" s="35" t="s">
        <v>29</v>
      </c>
      <c r="C1150" s="51">
        <v>45082</v>
      </c>
      <c r="D1150" s="34" t="s">
        <v>30</v>
      </c>
      <c r="E1150" s="35" t="s">
        <v>31</v>
      </c>
      <c r="F1150" s="33" t="s">
        <v>32</v>
      </c>
      <c r="G1150" s="50"/>
    </row>
    <row r="1151" spans="1:7" ht="15.75" thickBot="1" x14ac:dyDescent="0.3">
      <c r="A1151" s="39"/>
      <c r="B1151" s="35" t="s">
        <v>33</v>
      </c>
      <c r="C1151" s="52">
        <f>IF(C1150="","",IF(AND(MONTH(C1150)&gt;=1,MONTH(C1150)&lt;=3),1,IF(AND(MONTH(C1150)&gt;=4,MONTH(C1150)&lt;=6),2,IF(AND(MONTH(C1150)&gt;=7,MONTH(C1150)&lt;=9),3,4))))</f>
        <v>2</v>
      </c>
      <c r="D1151" s="39"/>
      <c r="E1151" s="35" t="s">
        <v>34</v>
      </c>
      <c r="F1151" s="33" t="s">
        <v>35</v>
      </c>
      <c r="G1151" s="50"/>
    </row>
    <row r="1152" spans="1:7" ht="15.75" thickBot="1" x14ac:dyDescent="0.3">
      <c r="A1152" s="39"/>
      <c r="B1152" s="35" t="s">
        <v>36</v>
      </c>
      <c r="C1152" s="51">
        <v>45089</v>
      </c>
      <c r="D1152" s="39"/>
      <c r="E1152" s="35" t="s">
        <v>37</v>
      </c>
      <c r="F1152" s="33" t="s">
        <v>35</v>
      </c>
      <c r="G1152" s="50"/>
    </row>
    <row r="1153" spans="1:7" ht="15.75" thickBot="1" x14ac:dyDescent="0.3">
      <c r="A1153" s="39"/>
      <c r="B1153" s="35" t="s">
        <v>33</v>
      </c>
      <c r="C1153" s="52">
        <f>IF(C1152="","",IF(AND(MONTH(C1152)&gt;=1,MONTH(C1152)&lt;=3),1,IF(AND(MONTH(C1152)&gt;=4,MONTH(C1152)&lt;=6),2,IF(AND(MONTH(C1152)&gt;=7,MONTH(C1152)&lt;=9),3,4))))</f>
        <v>2</v>
      </c>
      <c r="D1153" s="39"/>
      <c r="E1153" s="35" t="s">
        <v>38</v>
      </c>
      <c r="F1153" s="33" t="s">
        <v>35</v>
      </c>
      <c r="G1153" s="50"/>
    </row>
    <row r="1154" spans="1:7" ht="15.75" thickBot="1" x14ac:dyDescent="0.3">
      <c r="A1154" s="50"/>
      <c r="B1154" s="50"/>
      <c r="C1154" s="50"/>
      <c r="D1154" s="50"/>
      <c r="E1154" s="50"/>
      <c r="F1154" s="50"/>
      <c r="G1154" s="50"/>
    </row>
    <row r="1155" spans="1:7" ht="15.75" thickBot="1" x14ac:dyDescent="0.3">
      <c r="A1155" s="41" t="s">
        <v>39</v>
      </c>
      <c r="B1155" s="41" t="s">
        <v>40</v>
      </c>
      <c r="C1155" s="41" t="s">
        <v>41</v>
      </c>
      <c r="D1155" s="41" t="s">
        <v>42</v>
      </c>
      <c r="E1155" s="41" t="s">
        <v>43</v>
      </c>
      <c r="F1155" s="41" t="s">
        <v>44</v>
      </c>
      <c r="G1155" s="50"/>
    </row>
    <row r="1156" spans="1:7" ht="22.5" x14ac:dyDescent="0.25">
      <c r="A1156" s="42">
        <v>26111717</v>
      </c>
      <c r="B1156" s="43" t="str">
        <f ca="1">IFERROR(INDEX(UNSPSCDes,MATCH(INDIRECT(ADDRESS(ROW(),COLUMN()-1,4)),UNSPSCCode,0)),"")</f>
        <v>Baterías del manganeso</v>
      </c>
      <c r="C1156" s="42" t="s">
        <v>46</v>
      </c>
      <c r="D1156" s="42">
        <v>4</v>
      </c>
      <c r="E1156" s="45">
        <v>118</v>
      </c>
      <c r="F1156" s="46">
        <f ca="1">INDIRECT(ADDRESS(ROW(),COLUMN()-2,4))*INDIRECT(ADDRESS(ROW(),COLUMN()-1,4))</f>
        <v>472</v>
      </c>
      <c r="G1156" s="50"/>
    </row>
    <row r="1157" spans="1:7" ht="33.75" x14ac:dyDescent="0.25">
      <c r="A1157" s="42">
        <v>26121704</v>
      </c>
      <c r="B1157" s="43" t="str">
        <f ca="1">IFERROR(INDEX(UNSPSCDes,MATCH(INDIRECT(ADDRESS(ROW(),COLUMN()-1,4)),UNSPSCCode,0)),"")</f>
        <v>Arnés de alambrado especial</v>
      </c>
      <c r="C1157" s="42" t="s">
        <v>46</v>
      </c>
      <c r="D1157" s="42">
        <v>6</v>
      </c>
      <c r="E1157" s="45">
        <v>90</v>
      </c>
      <c r="F1157" s="46">
        <f ca="1">INDIRECT(ADDRESS(ROW(),COLUMN()-2,4))*INDIRECT(ADDRESS(ROW(),COLUMN()-1,4))</f>
        <v>540</v>
      </c>
      <c r="G1157" s="50"/>
    </row>
    <row r="1158" spans="1:7" ht="33.75" x14ac:dyDescent="0.25">
      <c r="A1158" s="42">
        <v>26121704</v>
      </c>
      <c r="B1158" s="43" t="str">
        <f ca="1">IFERROR(INDEX(UNSPSCDes,MATCH(INDIRECT(ADDRESS(ROW(),COLUMN()-1,4)),UNSPSCCode,0)),"")</f>
        <v>Arnés de alambrado especial</v>
      </c>
      <c r="C1158" s="42" t="s">
        <v>46</v>
      </c>
      <c r="D1158" s="42">
        <v>6</v>
      </c>
      <c r="E1158" s="45">
        <v>340</v>
      </c>
      <c r="F1158" s="46">
        <f ca="1">INDIRECT(ADDRESS(ROW(),COLUMN()-2,4))*INDIRECT(ADDRESS(ROW(),COLUMN()-1,4))</f>
        <v>2040</v>
      </c>
      <c r="G1158" s="50"/>
    </row>
    <row r="1159" spans="1:7" x14ac:dyDescent="0.25">
      <c r="A1159" s="50"/>
      <c r="B1159" s="50"/>
      <c r="C1159" s="50"/>
      <c r="D1159" s="50"/>
      <c r="E1159" s="54" t="s">
        <v>49</v>
      </c>
      <c r="F1159" s="49">
        <f ca="1">SUM(Table378[MONTO TOTAL ESTIMADO])</f>
        <v>3052</v>
      </c>
      <c r="G1159" s="50"/>
    </row>
    <row r="1160" spans="1:7" ht="17.25" thickBot="1" x14ac:dyDescent="0.3">
      <c r="A1160" s="30"/>
      <c r="B1160" s="30"/>
      <c r="C1160" s="30"/>
      <c r="D1160" s="30"/>
      <c r="E1160" s="30"/>
      <c r="F1160" s="30"/>
      <c r="G1160" s="30"/>
    </row>
    <row r="1161" spans="1:7" ht="34.5" thickBot="1" x14ac:dyDescent="0.3">
      <c r="A1161" s="31" t="s">
        <v>18</v>
      </c>
      <c r="B1161" s="31" t="s">
        <v>19</v>
      </c>
      <c r="C1161" s="31" t="s">
        <v>20</v>
      </c>
      <c r="D1161" s="31" t="s">
        <v>21</v>
      </c>
      <c r="E1161" s="31" t="s">
        <v>22</v>
      </c>
      <c r="F1161" s="31" t="s">
        <v>23</v>
      </c>
      <c r="G1161" s="50"/>
    </row>
    <row r="1162" spans="1:7" ht="15.75" thickBot="1" x14ac:dyDescent="0.3">
      <c r="A1162" s="33" t="s">
        <v>63</v>
      </c>
      <c r="B1162" s="33" t="s">
        <v>64</v>
      </c>
      <c r="C1162" s="33" t="s">
        <v>26</v>
      </c>
      <c r="D1162" s="33" t="s">
        <v>52</v>
      </c>
      <c r="E1162" s="33" t="s">
        <v>53</v>
      </c>
      <c r="F1162" s="33"/>
      <c r="G1162" s="50"/>
    </row>
    <row r="1163" spans="1:7" ht="15.75" thickBot="1" x14ac:dyDescent="0.3">
      <c r="A1163" s="34" t="s">
        <v>28</v>
      </c>
      <c r="B1163" s="35" t="s">
        <v>29</v>
      </c>
      <c r="C1163" s="51">
        <v>45100</v>
      </c>
      <c r="D1163" s="34" t="s">
        <v>30</v>
      </c>
      <c r="E1163" s="35" t="s">
        <v>31</v>
      </c>
      <c r="F1163" s="33" t="s">
        <v>32</v>
      </c>
      <c r="G1163" s="50"/>
    </row>
    <row r="1164" spans="1:7" ht="15.75" thickBot="1" x14ac:dyDescent="0.3">
      <c r="A1164" s="39"/>
      <c r="B1164" s="35" t="s">
        <v>33</v>
      </c>
      <c r="C1164" s="52">
        <f>IF(C1163="","",IF(AND(MONTH(C1163)&gt;=1,MONTH(C1163)&lt;=3),1,IF(AND(MONTH(C1163)&gt;=4,MONTH(C1163)&lt;=6),2,IF(AND(MONTH(C1163)&gt;=7,MONTH(C1163)&lt;=9),3,4))))</f>
        <v>2</v>
      </c>
      <c r="D1164" s="39"/>
      <c r="E1164" s="35" t="s">
        <v>34</v>
      </c>
      <c r="F1164" s="33" t="s">
        <v>35</v>
      </c>
      <c r="G1164" s="50"/>
    </row>
    <row r="1165" spans="1:7" ht="15.75" thickBot="1" x14ac:dyDescent="0.3">
      <c r="A1165" s="39"/>
      <c r="B1165" s="35" t="s">
        <v>36</v>
      </c>
      <c r="C1165" s="51">
        <v>45106</v>
      </c>
      <c r="D1165" s="39"/>
      <c r="E1165" s="35" t="s">
        <v>37</v>
      </c>
      <c r="F1165" s="33" t="s">
        <v>35</v>
      </c>
      <c r="G1165" s="50"/>
    </row>
    <row r="1166" spans="1:7" ht="15.75" thickBot="1" x14ac:dyDescent="0.3">
      <c r="A1166" s="39"/>
      <c r="B1166" s="35" t="s">
        <v>33</v>
      </c>
      <c r="C1166" s="52">
        <f>IF(C1165="","",IF(AND(MONTH(C1165)&gt;=1,MONTH(C1165)&lt;=3),1,IF(AND(MONTH(C1165)&gt;=4,MONTH(C1165)&lt;=6),2,IF(AND(MONTH(C1165)&gt;=7,MONTH(C1165)&lt;=9),3,4))))</f>
        <v>2</v>
      </c>
      <c r="D1166" s="39"/>
      <c r="E1166" s="35" t="s">
        <v>38</v>
      </c>
      <c r="F1166" s="33" t="s">
        <v>35</v>
      </c>
      <c r="G1166" s="50"/>
    </row>
    <row r="1167" spans="1:7" ht="15.75" thickBot="1" x14ac:dyDescent="0.3">
      <c r="A1167" s="50"/>
      <c r="B1167" s="50"/>
      <c r="C1167" s="50"/>
      <c r="D1167" s="50"/>
      <c r="E1167" s="50"/>
      <c r="F1167" s="50"/>
      <c r="G1167" s="50"/>
    </row>
    <row r="1168" spans="1:7" ht="15.75" thickBot="1" x14ac:dyDescent="0.3">
      <c r="A1168" s="41" t="s">
        <v>39</v>
      </c>
      <c r="B1168" s="41" t="s">
        <v>40</v>
      </c>
      <c r="C1168" s="41" t="s">
        <v>41</v>
      </c>
      <c r="D1168" s="41" t="s">
        <v>42</v>
      </c>
      <c r="E1168" s="41" t="s">
        <v>43</v>
      </c>
      <c r="F1168" s="41" t="s">
        <v>44</v>
      </c>
      <c r="G1168" s="50"/>
    </row>
    <row r="1169" spans="1:7" ht="56.25" x14ac:dyDescent="0.25">
      <c r="A1169" s="42">
        <v>42131606</v>
      </c>
      <c r="B1169" s="43" t="str">
        <f ca="1">IFERROR(INDEX(UNSPSCDes,MATCH(INDIRECT(ADDRESS(ROW(),COLUMN()-1,4)),UNSPSCCode,0)),"")</f>
        <v>Máscaras quirúrgicas o de aislamiento para personal médico</v>
      </c>
      <c r="C1169" s="42" t="s">
        <v>45</v>
      </c>
      <c r="D1169" s="42">
        <v>2</v>
      </c>
      <c r="E1169" s="45">
        <v>135</v>
      </c>
      <c r="F1169" s="46">
        <f ca="1">INDIRECT(ADDRESS(ROW(),COLUMN()-2,4))*INDIRECT(ADDRESS(ROW(),COLUMN()-1,4))</f>
        <v>270</v>
      </c>
      <c r="G1169" s="50"/>
    </row>
    <row r="1170" spans="1:7" x14ac:dyDescent="0.25">
      <c r="A1170" s="50"/>
      <c r="B1170" s="50"/>
      <c r="C1170" s="50"/>
      <c r="D1170" s="50"/>
      <c r="E1170" s="54" t="s">
        <v>49</v>
      </c>
      <c r="F1170" s="49">
        <f ca="1">SUM(Table379[MONTO TOTAL ESTIMADO])</f>
        <v>270</v>
      </c>
      <c r="G1170" s="50"/>
    </row>
    <row r="1171" spans="1:7" ht="17.25" thickBot="1" x14ac:dyDescent="0.3">
      <c r="A1171" s="30"/>
      <c r="B1171" s="30"/>
      <c r="C1171" s="30"/>
      <c r="D1171" s="30"/>
      <c r="E1171" s="30"/>
      <c r="F1171" s="30"/>
      <c r="G1171" s="30"/>
    </row>
    <row r="1172" spans="1:7" ht="34.5" thickBot="1" x14ac:dyDescent="0.3">
      <c r="A1172" s="31" t="s">
        <v>18</v>
      </c>
      <c r="B1172" s="31" t="s">
        <v>19</v>
      </c>
      <c r="C1172" s="31" t="s">
        <v>20</v>
      </c>
      <c r="D1172" s="31" t="s">
        <v>21</v>
      </c>
      <c r="E1172" s="31" t="s">
        <v>22</v>
      </c>
      <c r="F1172" s="31" t="s">
        <v>23</v>
      </c>
      <c r="G1172" s="50"/>
    </row>
    <row r="1173" spans="1:7" ht="15.75" thickBot="1" x14ac:dyDescent="0.3">
      <c r="A1173" s="33" t="s">
        <v>85</v>
      </c>
      <c r="B1173" s="33" t="s">
        <v>85</v>
      </c>
      <c r="C1173" s="33" t="s">
        <v>26</v>
      </c>
      <c r="D1173" s="33" t="s">
        <v>52</v>
      </c>
      <c r="E1173" s="33" t="s">
        <v>53</v>
      </c>
      <c r="F1173" s="33"/>
      <c r="G1173" s="50"/>
    </row>
    <row r="1174" spans="1:7" ht="15.75" thickBot="1" x14ac:dyDescent="0.3">
      <c r="A1174" s="34" t="s">
        <v>28</v>
      </c>
      <c r="B1174" s="35" t="s">
        <v>29</v>
      </c>
      <c r="C1174" s="51">
        <v>45084</v>
      </c>
      <c r="D1174" s="34" t="s">
        <v>30</v>
      </c>
      <c r="E1174" s="35" t="s">
        <v>31</v>
      </c>
      <c r="F1174" s="33" t="s">
        <v>32</v>
      </c>
      <c r="G1174" s="50"/>
    </row>
    <row r="1175" spans="1:7" ht="15.75" thickBot="1" x14ac:dyDescent="0.3">
      <c r="A1175" s="39"/>
      <c r="B1175" s="35" t="s">
        <v>33</v>
      </c>
      <c r="C1175" s="52">
        <f>IF(C1174="","",IF(AND(MONTH(C1174)&gt;=1,MONTH(C1174)&lt;=3),1,IF(AND(MONTH(C1174)&gt;=4,MONTH(C1174)&lt;=6),2,IF(AND(MONTH(C1174)&gt;=7,MONTH(C1174)&lt;=9),3,4))))</f>
        <v>2</v>
      </c>
      <c r="D1175" s="39"/>
      <c r="E1175" s="35" t="s">
        <v>34</v>
      </c>
      <c r="F1175" s="33" t="s">
        <v>35</v>
      </c>
      <c r="G1175" s="50"/>
    </row>
    <row r="1176" spans="1:7" ht="15.75" thickBot="1" x14ac:dyDescent="0.3">
      <c r="A1176" s="39"/>
      <c r="B1176" s="35" t="s">
        <v>36</v>
      </c>
      <c r="C1176" s="51">
        <v>45091</v>
      </c>
      <c r="D1176" s="39"/>
      <c r="E1176" s="35" t="s">
        <v>37</v>
      </c>
      <c r="F1176" s="33" t="s">
        <v>35</v>
      </c>
      <c r="G1176" s="50"/>
    </row>
    <row r="1177" spans="1:7" ht="15.75" thickBot="1" x14ac:dyDescent="0.3">
      <c r="A1177" s="39"/>
      <c r="B1177" s="35" t="s">
        <v>33</v>
      </c>
      <c r="C1177" s="52">
        <f>IF(C1176="","",IF(AND(MONTH(C1176)&gt;=1,MONTH(C1176)&lt;=3),1,IF(AND(MONTH(C1176)&gt;=4,MONTH(C1176)&lt;=6),2,IF(AND(MONTH(C1176)&gt;=7,MONTH(C1176)&lt;=9),3,4))))</f>
        <v>2</v>
      </c>
      <c r="D1177" s="39"/>
      <c r="E1177" s="35" t="s">
        <v>38</v>
      </c>
      <c r="F1177" s="33" t="s">
        <v>35</v>
      </c>
      <c r="G1177" s="50"/>
    </row>
    <row r="1178" spans="1:7" ht="15.75" thickBot="1" x14ac:dyDescent="0.3">
      <c r="A1178" s="50"/>
      <c r="B1178" s="50"/>
      <c r="C1178" s="50"/>
      <c r="D1178" s="50"/>
      <c r="E1178" s="50"/>
      <c r="F1178" s="50"/>
      <c r="G1178" s="50"/>
    </row>
    <row r="1179" spans="1:7" ht="15.75" thickBot="1" x14ac:dyDescent="0.3">
      <c r="A1179" s="41" t="s">
        <v>39</v>
      </c>
      <c r="B1179" s="41" t="s">
        <v>40</v>
      </c>
      <c r="C1179" s="41" t="s">
        <v>41</v>
      </c>
      <c r="D1179" s="41" t="s">
        <v>42</v>
      </c>
      <c r="E1179" s="41" t="s">
        <v>43</v>
      </c>
      <c r="F1179" s="41" t="s">
        <v>44</v>
      </c>
      <c r="G1179" s="50"/>
    </row>
    <row r="1180" spans="1:7" ht="56.25" x14ac:dyDescent="0.25">
      <c r="A1180" s="42">
        <v>52151504</v>
      </c>
      <c r="B1180" s="43" t="str">
        <f ca="1">IFERROR(INDEX(UNSPSCDes,MATCH(INDIRECT(ADDRESS(ROW(),COLUMN()-1,4)),UNSPSCCode,0)),"")</f>
        <v>Tazas o vasos o tapas desechables para uso doméstico</v>
      </c>
      <c r="C1180" s="42" t="s">
        <v>45</v>
      </c>
      <c r="D1180" s="42">
        <v>4</v>
      </c>
      <c r="E1180" s="45">
        <v>4200</v>
      </c>
      <c r="F1180" s="46">
        <f ca="1">INDIRECT(ADDRESS(ROW(),COLUMN()-2,4))*INDIRECT(ADDRESS(ROW(),COLUMN()-1,4))</f>
        <v>16800</v>
      </c>
      <c r="G1180" s="50"/>
    </row>
    <row r="1181" spans="1:7" ht="56.25" x14ac:dyDescent="0.25">
      <c r="A1181" s="42">
        <v>52151504</v>
      </c>
      <c r="B1181" s="43" t="str">
        <f ca="1">IFERROR(INDEX(UNSPSCDes,MATCH(INDIRECT(ADDRESS(ROW(),COLUMN()-1,4)),UNSPSCCode,0)),"")</f>
        <v>Tazas o vasos o tapas desechables para uso doméstico</v>
      </c>
      <c r="C1181" s="42" t="s">
        <v>45</v>
      </c>
      <c r="D1181" s="42">
        <v>6</v>
      </c>
      <c r="E1181" s="45">
        <v>3700</v>
      </c>
      <c r="F1181" s="46">
        <f ca="1">INDIRECT(ADDRESS(ROW(),COLUMN()-2,4))*INDIRECT(ADDRESS(ROW(),COLUMN()-1,4))</f>
        <v>22200</v>
      </c>
      <c r="G1181" s="50"/>
    </row>
    <row r="1182" spans="1:7" x14ac:dyDescent="0.25">
      <c r="A1182" s="50"/>
      <c r="B1182" s="50"/>
      <c r="C1182" s="50"/>
      <c r="D1182" s="50"/>
      <c r="E1182" s="54" t="s">
        <v>49</v>
      </c>
      <c r="F1182" s="49">
        <f ca="1">SUM(Table380[MONTO TOTAL ESTIMADO])</f>
        <v>39000</v>
      </c>
      <c r="G1182" s="50"/>
    </row>
    <row r="1183" spans="1:7" ht="17.25" thickBot="1" x14ac:dyDescent="0.3">
      <c r="A1183" s="30"/>
      <c r="B1183" s="30"/>
      <c r="C1183" s="30"/>
      <c r="D1183" s="30"/>
      <c r="E1183" s="30"/>
      <c r="F1183" s="30"/>
      <c r="G1183" s="30"/>
    </row>
    <row r="1184" spans="1:7" ht="34.5" thickBot="1" x14ac:dyDescent="0.3">
      <c r="A1184" s="31" t="s">
        <v>18</v>
      </c>
      <c r="B1184" s="31" t="s">
        <v>19</v>
      </c>
      <c r="C1184" s="31" t="s">
        <v>20</v>
      </c>
      <c r="D1184" s="31" t="s">
        <v>21</v>
      </c>
      <c r="E1184" s="31" t="s">
        <v>22</v>
      </c>
      <c r="F1184" s="31" t="s">
        <v>23</v>
      </c>
      <c r="G1184" s="50"/>
    </row>
    <row r="1185" spans="1:7" ht="15.75" thickBot="1" x14ac:dyDescent="0.3">
      <c r="A1185" s="33" t="s">
        <v>83</v>
      </c>
      <c r="B1185" s="33" t="s">
        <v>84</v>
      </c>
      <c r="C1185" s="33" t="s">
        <v>74</v>
      </c>
      <c r="D1185" s="33" t="s">
        <v>52</v>
      </c>
      <c r="E1185" s="33" t="s">
        <v>62</v>
      </c>
      <c r="F1185" s="33"/>
      <c r="G1185" s="50"/>
    </row>
    <row r="1186" spans="1:7" ht="15.75" thickBot="1" x14ac:dyDescent="0.3">
      <c r="A1186" s="34" t="s">
        <v>28</v>
      </c>
      <c r="B1186" s="35" t="s">
        <v>29</v>
      </c>
      <c r="C1186" s="51">
        <v>45086</v>
      </c>
      <c r="D1186" s="34" t="s">
        <v>30</v>
      </c>
      <c r="E1186" s="35" t="s">
        <v>31</v>
      </c>
      <c r="F1186" s="33" t="s">
        <v>32</v>
      </c>
      <c r="G1186" s="50"/>
    </row>
    <row r="1187" spans="1:7" ht="15.75" thickBot="1" x14ac:dyDescent="0.3">
      <c r="A1187" s="39"/>
      <c r="B1187" s="35" t="s">
        <v>33</v>
      </c>
      <c r="C1187" s="52">
        <f>IF(C1186="","",IF(AND(MONTH(C1186)&gt;=1,MONTH(C1186)&lt;=3),1,IF(AND(MONTH(C1186)&gt;=4,MONTH(C1186)&lt;=6),2,IF(AND(MONTH(C1186)&gt;=7,MONTH(C1186)&lt;=9),3,4))))</f>
        <v>2</v>
      </c>
      <c r="D1187" s="39"/>
      <c r="E1187" s="35" t="s">
        <v>34</v>
      </c>
      <c r="F1187" s="33" t="s">
        <v>35</v>
      </c>
      <c r="G1187" s="50"/>
    </row>
    <row r="1188" spans="1:7" ht="15.75" thickBot="1" x14ac:dyDescent="0.3">
      <c r="A1188" s="39"/>
      <c r="B1188" s="35" t="s">
        <v>36</v>
      </c>
      <c r="C1188" s="51">
        <v>45094</v>
      </c>
      <c r="D1188" s="39"/>
      <c r="E1188" s="35" t="s">
        <v>37</v>
      </c>
      <c r="F1188" s="33" t="s">
        <v>35</v>
      </c>
      <c r="G1188" s="50"/>
    </row>
    <row r="1189" spans="1:7" ht="15.75" thickBot="1" x14ac:dyDescent="0.3">
      <c r="A1189" s="39"/>
      <c r="B1189" s="35" t="s">
        <v>33</v>
      </c>
      <c r="C1189" s="52">
        <f>IF(C1188="","",IF(AND(MONTH(C1188)&gt;=1,MONTH(C1188)&lt;=3),1,IF(AND(MONTH(C1188)&gt;=4,MONTH(C1188)&lt;=6),2,IF(AND(MONTH(C1188)&gt;=7,MONTH(C1188)&lt;=9),3,4))))</f>
        <v>2</v>
      </c>
      <c r="D1189" s="39"/>
      <c r="E1189" s="35" t="s">
        <v>38</v>
      </c>
      <c r="F1189" s="33" t="s">
        <v>35</v>
      </c>
      <c r="G1189" s="50"/>
    </row>
    <row r="1190" spans="1:7" ht="15.75" thickBot="1" x14ac:dyDescent="0.3">
      <c r="A1190" s="50"/>
      <c r="B1190" s="50"/>
      <c r="C1190" s="50"/>
      <c r="D1190" s="50"/>
      <c r="E1190" s="50"/>
      <c r="F1190" s="50"/>
      <c r="G1190" s="50"/>
    </row>
    <row r="1191" spans="1:7" ht="15.75" thickBot="1" x14ac:dyDescent="0.3">
      <c r="A1191" s="41" t="s">
        <v>39</v>
      </c>
      <c r="B1191" s="41" t="s">
        <v>40</v>
      </c>
      <c r="C1191" s="41" t="s">
        <v>41</v>
      </c>
      <c r="D1191" s="41" t="s">
        <v>42</v>
      </c>
      <c r="E1191" s="41" t="s">
        <v>43</v>
      </c>
      <c r="F1191" s="41" t="s">
        <v>44</v>
      </c>
      <c r="G1191" s="50"/>
    </row>
    <row r="1192" spans="1:7" ht="33.75" x14ac:dyDescent="0.25">
      <c r="A1192" s="42">
        <v>14111611</v>
      </c>
      <c r="B1192" s="43" t="str">
        <f ca="1">IFERROR(INDEX(UNSPSCDes,MATCH(INDIRECT(ADDRESS(ROW(),COLUMN()-1,4)),UNSPSCCode,0)),"")</f>
        <v>Tarjetas de invitación o de anuncio</v>
      </c>
      <c r="C1192" s="42" t="s">
        <v>46</v>
      </c>
      <c r="D1192" s="42">
        <v>50</v>
      </c>
      <c r="E1192" s="45">
        <v>675</v>
      </c>
      <c r="F1192" s="46">
        <f ca="1">INDIRECT(ADDRESS(ROW(),COLUMN()-2,4))*INDIRECT(ADDRESS(ROW(),COLUMN()-1,4))</f>
        <v>33750</v>
      </c>
      <c r="G1192" s="50"/>
    </row>
    <row r="1193" spans="1:7" ht="33.75" x14ac:dyDescent="0.25">
      <c r="A1193" s="42">
        <v>80121704</v>
      </c>
      <c r="B1193" s="43" t="str">
        <f ca="1">IFERROR(INDEX(UNSPSCDes,MATCH(INDIRECT(ADDRESS(ROW(),COLUMN()-1,4)),UNSPSCCode,0)),"")</f>
        <v>Servicios legales sobre contratos</v>
      </c>
      <c r="C1193" s="42" t="s">
        <v>46</v>
      </c>
      <c r="D1193" s="42">
        <v>15</v>
      </c>
      <c r="E1193" s="45">
        <v>5000</v>
      </c>
      <c r="F1193" s="46">
        <f ca="1">INDIRECT(ADDRESS(ROW(),COLUMN()-2,4))*INDIRECT(ADDRESS(ROW(),COLUMN()-1,4))</f>
        <v>75000</v>
      </c>
      <c r="G1193" s="50"/>
    </row>
    <row r="1194" spans="1:7" x14ac:dyDescent="0.25">
      <c r="A1194" s="50"/>
      <c r="B1194" s="50"/>
      <c r="C1194" s="50"/>
      <c r="D1194" s="50"/>
      <c r="E1194" s="54" t="s">
        <v>49</v>
      </c>
      <c r="F1194" s="49">
        <f ca="1">SUM(Table381[MONTO TOTAL ESTIMADO])</f>
        <v>108750</v>
      </c>
      <c r="G1194" s="50"/>
    </row>
    <row r="1195" spans="1:7" ht="17.25" thickBot="1" x14ac:dyDescent="0.3">
      <c r="A1195" s="30"/>
      <c r="B1195" s="30"/>
      <c r="C1195" s="30"/>
      <c r="D1195" s="30"/>
      <c r="E1195" s="30"/>
      <c r="F1195" s="30"/>
      <c r="G1195" s="30"/>
    </row>
    <row r="1196" spans="1:7" ht="34.5" thickBot="1" x14ac:dyDescent="0.3">
      <c r="A1196" s="31" t="s">
        <v>18</v>
      </c>
      <c r="B1196" s="31" t="s">
        <v>19</v>
      </c>
      <c r="C1196" s="31" t="s">
        <v>20</v>
      </c>
      <c r="D1196" s="31" t="s">
        <v>21</v>
      </c>
      <c r="E1196" s="31" t="s">
        <v>22</v>
      </c>
      <c r="F1196" s="31" t="s">
        <v>23</v>
      </c>
      <c r="G1196" s="50"/>
    </row>
    <row r="1197" spans="1:7" ht="15.75" thickBot="1" x14ac:dyDescent="0.3">
      <c r="A1197" s="33" t="s">
        <v>127</v>
      </c>
      <c r="B1197" s="33" t="s">
        <v>128</v>
      </c>
      <c r="C1197" s="33" t="s">
        <v>26</v>
      </c>
      <c r="D1197" s="33" t="s">
        <v>52</v>
      </c>
      <c r="E1197" s="33" t="s">
        <v>53</v>
      </c>
      <c r="F1197" s="33"/>
      <c r="G1197" s="50"/>
    </row>
    <row r="1198" spans="1:7" ht="15.75" thickBot="1" x14ac:dyDescent="0.3">
      <c r="A1198" s="34" t="s">
        <v>28</v>
      </c>
      <c r="B1198" s="35" t="s">
        <v>29</v>
      </c>
      <c r="C1198" s="51">
        <v>45093</v>
      </c>
      <c r="D1198" s="34" t="s">
        <v>30</v>
      </c>
      <c r="E1198" s="35" t="s">
        <v>31</v>
      </c>
      <c r="F1198" s="33" t="s">
        <v>32</v>
      </c>
      <c r="G1198" s="50"/>
    </row>
    <row r="1199" spans="1:7" ht="15.75" thickBot="1" x14ac:dyDescent="0.3">
      <c r="A1199" s="39"/>
      <c r="B1199" s="35" t="s">
        <v>33</v>
      </c>
      <c r="C1199" s="52">
        <f>IF(C1198="","",IF(AND(MONTH(C1198)&gt;=1,MONTH(C1198)&lt;=3),1,IF(AND(MONTH(C1198)&gt;=4,MONTH(C1198)&lt;=6),2,IF(AND(MONTH(C1198)&gt;=7,MONTH(C1198)&lt;=9),3,4))))</f>
        <v>2</v>
      </c>
      <c r="D1199" s="39"/>
      <c r="E1199" s="35" t="s">
        <v>34</v>
      </c>
      <c r="F1199" s="33" t="s">
        <v>35</v>
      </c>
      <c r="G1199" s="50"/>
    </row>
    <row r="1200" spans="1:7" ht="15.75" thickBot="1" x14ac:dyDescent="0.3">
      <c r="A1200" s="39"/>
      <c r="B1200" s="35" t="s">
        <v>36</v>
      </c>
      <c r="C1200" s="51">
        <v>45100</v>
      </c>
      <c r="D1200" s="39"/>
      <c r="E1200" s="35" t="s">
        <v>37</v>
      </c>
      <c r="F1200" s="33" t="s">
        <v>35</v>
      </c>
      <c r="G1200" s="50"/>
    </row>
    <row r="1201" spans="1:7" ht="15.75" thickBot="1" x14ac:dyDescent="0.3">
      <c r="A1201" s="39"/>
      <c r="B1201" s="35" t="s">
        <v>33</v>
      </c>
      <c r="C1201" s="52">
        <f>IF(C1200="","",IF(AND(MONTH(C1200)&gt;=1,MONTH(C1200)&lt;=3),1,IF(AND(MONTH(C1200)&gt;=4,MONTH(C1200)&lt;=6),2,IF(AND(MONTH(C1200)&gt;=7,MONTH(C1200)&lt;=9),3,4))))</f>
        <v>2</v>
      </c>
      <c r="D1201" s="39"/>
      <c r="E1201" s="35" t="s">
        <v>38</v>
      </c>
      <c r="F1201" s="33" t="s">
        <v>35</v>
      </c>
      <c r="G1201" s="50"/>
    </row>
    <row r="1202" spans="1:7" ht="15.75" thickBot="1" x14ac:dyDescent="0.3">
      <c r="A1202" s="50"/>
      <c r="B1202" s="50"/>
      <c r="C1202" s="50"/>
      <c r="D1202" s="50"/>
      <c r="E1202" s="50"/>
      <c r="F1202" s="50"/>
      <c r="G1202" s="50"/>
    </row>
    <row r="1203" spans="1:7" ht="15.75" thickBot="1" x14ac:dyDescent="0.3">
      <c r="A1203" s="41" t="s">
        <v>39</v>
      </c>
      <c r="B1203" s="41" t="s">
        <v>40</v>
      </c>
      <c r="C1203" s="41" t="s">
        <v>41</v>
      </c>
      <c r="D1203" s="41" t="s">
        <v>42</v>
      </c>
      <c r="E1203" s="41" t="s">
        <v>43</v>
      </c>
      <c r="F1203" s="41" t="s">
        <v>44</v>
      </c>
      <c r="G1203" s="50"/>
    </row>
    <row r="1204" spans="1:7" x14ac:dyDescent="0.25">
      <c r="A1204" s="42">
        <v>49101704</v>
      </c>
      <c r="B1204" s="43" t="str">
        <f ca="1">IFERROR(INDEX(UNSPSCDes,MATCH(INDIRECT(ADDRESS(ROW(),COLUMN()-1,4)),UNSPSCCode,0)),"")</f>
        <v>Placas</v>
      </c>
      <c r="C1204" s="42" t="s">
        <v>46</v>
      </c>
      <c r="D1204" s="42">
        <v>8</v>
      </c>
      <c r="E1204" s="45">
        <v>5200</v>
      </c>
      <c r="F1204" s="46">
        <f ca="1">INDIRECT(ADDRESS(ROW(),COLUMN()-2,4))*INDIRECT(ADDRESS(ROW(),COLUMN()-1,4))</f>
        <v>41600</v>
      </c>
      <c r="G1204" s="50"/>
    </row>
    <row r="1205" spans="1:7" x14ac:dyDescent="0.25">
      <c r="A1205" s="50"/>
      <c r="B1205" s="50"/>
      <c r="C1205" s="50"/>
      <c r="D1205" s="50"/>
      <c r="E1205" s="54" t="s">
        <v>49</v>
      </c>
      <c r="F1205" s="49">
        <f ca="1">SUM(Table382[MONTO TOTAL ESTIMADO])</f>
        <v>41600</v>
      </c>
      <c r="G1205" s="50"/>
    </row>
    <row r="1206" spans="1:7" ht="17.25" thickBot="1" x14ac:dyDescent="0.3">
      <c r="A1206" s="30"/>
      <c r="B1206" s="30"/>
      <c r="C1206" s="30"/>
      <c r="D1206" s="30"/>
      <c r="E1206" s="30"/>
      <c r="F1206" s="30"/>
      <c r="G1206" s="30"/>
    </row>
    <row r="1207" spans="1:7" ht="34.5" thickBot="1" x14ac:dyDescent="0.3">
      <c r="A1207" s="31" t="s">
        <v>18</v>
      </c>
      <c r="B1207" s="31" t="s">
        <v>19</v>
      </c>
      <c r="C1207" s="31" t="s">
        <v>20</v>
      </c>
      <c r="D1207" s="31" t="s">
        <v>21</v>
      </c>
      <c r="E1207" s="31" t="s">
        <v>22</v>
      </c>
      <c r="F1207" s="31" t="s">
        <v>23</v>
      </c>
      <c r="G1207" s="50"/>
    </row>
    <row r="1208" spans="1:7" ht="15.75" thickBot="1" x14ac:dyDescent="0.3">
      <c r="A1208" s="33" t="s">
        <v>100</v>
      </c>
      <c r="B1208" s="33" t="s">
        <v>100</v>
      </c>
      <c r="C1208" s="33" t="s">
        <v>74</v>
      </c>
      <c r="D1208" s="33" t="s">
        <v>52</v>
      </c>
      <c r="E1208" s="33" t="s">
        <v>56</v>
      </c>
      <c r="F1208" s="33"/>
      <c r="G1208" s="50"/>
    </row>
    <row r="1209" spans="1:7" ht="15.75" thickBot="1" x14ac:dyDescent="0.3">
      <c r="A1209" s="34" t="s">
        <v>28</v>
      </c>
      <c r="B1209" s="35" t="s">
        <v>29</v>
      </c>
      <c r="C1209" s="51">
        <v>45090</v>
      </c>
      <c r="D1209" s="34" t="s">
        <v>30</v>
      </c>
      <c r="E1209" s="35" t="s">
        <v>31</v>
      </c>
      <c r="F1209" s="33" t="s">
        <v>32</v>
      </c>
      <c r="G1209" s="50"/>
    </row>
    <row r="1210" spans="1:7" ht="15.75" thickBot="1" x14ac:dyDescent="0.3">
      <c r="A1210" s="39"/>
      <c r="B1210" s="35" t="s">
        <v>33</v>
      </c>
      <c r="C1210" s="52">
        <f>IF(C1209="","",IF(AND(MONTH(C1209)&gt;=1,MONTH(C1209)&lt;=3),1,IF(AND(MONTH(C1209)&gt;=4,MONTH(C1209)&lt;=6),2,IF(AND(MONTH(C1209)&gt;=7,MONTH(C1209)&lt;=9),3,4))))</f>
        <v>2</v>
      </c>
      <c r="D1210" s="39"/>
      <c r="E1210" s="35" t="s">
        <v>34</v>
      </c>
      <c r="F1210" s="33" t="s">
        <v>35</v>
      </c>
      <c r="G1210" s="50"/>
    </row>
    <row r="1211" spans="1:7" ht="15.75" thickBot="1" x14ac:dyDescent="0.3">
      <c r="A1211" s="39"/>
      <c r="B1211" s="35" t="s">
        <v>36</v>
      </c>
      <c r="C1211" s="51">
        <v>45099</v>
      </c>
      <c r="D1211" s="39"/>
      <c r="E1211" s="35" t="s">
        <v>37</v>
      </c>
      <c r="F1211" s="33" t="s">
        <v>35</v>
      </c>
      <c r="G1211" s="50"/>
    </row>
    <row r="1212" spans="1:7" ht="15.75" thickBot="1" x14ac:dyDescent="0.3">
      <c r="A1212" s="39"/>
      <c r="B1212" s="35" t="s">
        <v>33</v>
      </c>
      <c r="C1212" s="52">
        <f>IF(C1211="","",IF(AND(MONTH(C1211)&gt;=1,MONTH(C1211)&lt;=3),1,IF(AND(MONTH(C1211)&gt;=4,MONTH(C1211)&lt;=6),2,IF(AND(MONTH(C1211)&gt;=7,MONTH(C1211)&lt;=9),3,4))))</f>
        <v>2</v>
      </c>
      <c r="D1212" s="39"/>
      <c r="E1212" s="35" t="s">
        <v>38</v>
      </c>
      <c r="F1212" s="33" t="s">
        <v>35</v>
      </c>
      <c r="G1212" s="50"/>
    </row>
    <row r="1213" spans="1:7" ht="15.75" thickBot="1" x14ac:dyDescent="0.3">
      <c r="A1213" s="50"/>
      <c r="B1213" s="50"/>
      <c r="C1213" s="50"/>
      <c r="D1213" s="50"/>
      <c r="E1213" s="50"/>
      <c r="F1213" s="50"/>
      <c r="G1213" s="50"/>
    </row>
    <row r="1214" spans="1:7" ht="15.75" thickBot="1" x14ac:dyDescent="0.3">
      <c r="A1214" s="41" t="s">
        <v>39</v>
      </c>
      <c r="B1214" s="41" t="s">
        <v>40</v>
      </c>
      <c r="C1214" s="41" t="s">
        <v>41</v>
      </c>
      <c r="D1214" s="41" t="s">
        <v>42</v>
      </c>
      <c r="E1214" s="41" t="s">
        <v>43</v>
      </c>
      <c r="F1214" s="41" t="s">
        <v>44</v>
      </c>
      <c r="G1214" s="50"/>
    </row>
    <row r="1215" spans="1:7" ht="22.5" x14ac:dyDescent="0.25">
      <c r="A1215" s="42">
        <v>82101504</v>
      </c>
      <c r="B1215" s="43" t="str">
        <f ca="1">IFERROR(INDEX(UNSPSCDes,MATCH(INDIRECT(ADDRESS(ROW(),COLUMN()-1,4)),UNSPSCCode,0)),"")</f>
        <v>Publicidad en periódicos</v>
      </c>
      <c r="C1215" s="42" t="s">
        <v>46</v>
      </c>
      <c r="D1215" s="42">
        <v>2</v>
      </c>
      <c r="E1215" s="45">
        <v>20000</v>
      </c>
      <c r="F1215" s="46">
        <f ca="1">INDIRECT(ADDRESS(ROW(),COLUMN()-2,4))*INDIRECT(ADDRESS(ROW(),COLUMN()-1,4))</f>
        <v>40000</v>
      </c>
      <c r="G1215" s="50"/>
    </row>
    <row r="1216" spans="1:7" x14ac:dyDescent="0.25">
      <c r="A1216" s="50"/>
      <c r="B1216" s="50"/>
      <c r="C1216" s="50"/>
      <c r="D1216" s="50"/>
      <c r="E1216" s="54" t="s">
        <v>49</v>
      </c>
      <c r="F1216" s="49">
        <f ca="1">SUM(Table383[MONTO TOTAL ESTIMADO])</f>
        <v>40000</v>
      </c>
      <c r="G1216" s="50"/>
    </row>
    <row r="1217" spans="1:7" ht="17.25" thickBot="1" x14ac:dyDescent="0.3">
      <c r="A1217" s="30"/>
      <c r="B1217" s="30"/>
      <c r="C1217" s="30"/>
      <c r="D1217" s="30"/>
      <c r="E1217" s="30"/>
      <c r="F1217" s="30"/>
      <c r="G1217" s="30"/>
    </row>
    <row r="1218" spans="1:7" ht="34.5" thickBot="1" x14ac:dyDescent="0.3">
      <c r="A1218" s="31" t="s">
        <v>18</v>
      </c>
      <c r="B1218" s="31" t="s">
        <v>19</v>
      </c>
      <c r="C1218" s="31" t="s">
        <v>20</v>
      </c>
      <c r="D1218" s="31" t="s">
        <v>21</v>
      </c>
      <c r="E1218" s="31" t="s">
        <v>22</v>
      </c>
      <c r="F1218" s="31" t="s">
        <v>23</v>
      </c>
      <c r="G1218" s="50"/>
    </row>
    <row r="1219" spans="1:7" ht="15.75" thickBot="1" x14ac:dyDescent="0.3">
      <c r="A1219" s="33" t="s">
        <v>129</v>
      </c>
      <c r="B1219" s="33" t="s">
        <v>130</v>
      </c>
      <c r="C1219" s="33" t="s">
        <v>26</v>
      </c>
      <c r="D1219" s="33" t="s">
        <v>52</v>
      </c>
      <c r="E1219" s="33" t="s">
        <v>53</v>
      </c>
      <c r="F1219" s="33"/>
      <c r="G1219" s="50"/>
    </row>
    <row r="1220" spans="1:7" ht="15.75" thickBot="1" x14ac:dyDescent="0.3">
      <c r="A1220" s="34" t="s">
        <v>28</v>
      </c>
      <c r="B1220" s="35" t="s">
        <v>29</v>
      </c>
      <c r="C1220" s="51">
        <v>45092</v>
      </c>
      <c r="D1220" s="34" t="s">
        <v>30</v>
      </c>
      <c r="E1220" s="35" t="s">
        <v>31</v>
      </c>
      <c r="F1220" s="33" t="s">
        <v>32</v>
      </c>
      <c r="G1220" s="50"/>
    </row>
    <row r="1221" spans="1:7" ht="15.75" thickBot="1" x14ac:dyDescent="0.3">
      <c r="A1221" s="39"/>
      <c r="B1221" s="35" t="s">
        <v>33</v>
      </c>
      <c r="C1221" s="52">
        <f>IF(C1220="","",IF(AND(MONTH(C1220)&gt;=1,MONTH(C1220)&lt;=3),1,IF(AND(MONTH(C1220)&gt;=4,MONTH(C1220)&lt;=6),2,IF(AND(MONTH(C1220)&gt;=7,MONTH(C1220)&lt;=9),3,4))))</f>
        <v>2</v>
      </c>
      <c r="D1221" s="39"/>
      <c r="E1221" s="35" t="s">
        <v>34</v>
      </c>
      <c r="F1221" s="33" t="s">
        <v>35</v>
      </c>
      <c r="G1221" s="50"/>
    </row>
    <row r="1222" spans="1:7" ht="15.75" thickBot="1" x14ac:dyDescent="0.3">
      <c r="A1222" s="39"/>
      <c r="B1222" s="35" t="s">
        <v>36</v>
      </c>
      <c r="C1222" s="51">
        <v>45100</v>
      </c>
      <c r="D1222" s="39"/>
      <c r="E1222" s="35" t="s">
        <v>37</v>
      </c>
      <c r="F1222" s="33" t="s">
        <v>35</v>
      </c>
      <c r="G1222" s="50"/>
    </row>
    <row r="1223" spans="1:7" ht="15.75" thickBot="1" x14ac:dyDescent="0.3">
      <c r="A1223" s="39"/>
      <c r="B1223" s="35" t="s">
        <v>33</v>
      </c>
      <c r="C1223" s="52">
        <f>IF(C1222="","",IF(AND(MONTH(C1222)&gt;=1,MONTH(C1222)&lt;=3),1,IF(AND(MONTH(C1222)&gt;=4,MONTH(C1222)&lt;=6),2,IF(AND(MONTH(C1222)&gt;=7,MONTH(C1222)&lt;=9),3,4))))</f>
        <v>2</v>
      </c>
      <c r="D1223" s="39"/>
      <c r="E1223" s="35" t="s">
        <v>38</v>
      </c>
      <c r="F1223" s="33" t="s">
        <v>35</v>
      </c>
      <c r="G1223" s="50"/>
    </row>
    <row r="1224" spans="1:7" ht="15.75" thickBot="1" x14ac:dyDescent="0.3">
      <c r="A1224" s="50"/>
      <c r="B1224" s="50"/>
      <c r="C1224" s="50"/>
      <c r="D1224" s="50"/>
      <c r="E1224" s="50"/>
      <c r="F1224" s="50"/>
      <c r="G1224" s="50"/>
    </row>
    <row r="1225" spans="1:7" ht="15.75" thickBot="1" x14ac:dyDescent="0.3">
      <c r="A1225" s="41" t="s">
        <v>39</v>
      </c>
      <c r="B1225" s="41" t="s">
        <v>40</v>
      </c>
      <c r="C1225" s="41" t="s">
        <v>41</v>
      </c>
      <c r="D1225" s="41" t="s">
        <v>42</v>
      </c>
      <c r="E1225" s="41" t="s">
        <v>43</v>
      </c>
      <c r="F1225" s="41" t="s">
        <v>44</v>
      </c>
      <c r="G1225" s="50"/>
    </row>
    <row r="1226" spans="1:7" x14ac:dyDescent="0.25">
      <c r="A1226" s="42">
        <v>52161505</v>
      </c>
      <c r="B1226" s="43" t="str">
        <f ca="1">IFERROR(INDEX(UNSPSCDes,MATCH(INDIRECT(ADDRESS(ROW(),COLUMN()-1,4)),UNSPSCCode,0)),"")</f>
        <v>Televisores</v>
      </c>
      <c r="C1226" s="42" t="s">
        <v>46</v>
      </c>
      <c r="D1226" s="42">
        <v>1</v>
      </c>
      <c r="E1226" s="45">
        <v>50000</v>
      </c>
      <c r="F1226" s="46">
        <f ca="1">INDIRECT(ADDRESS(ROW(),COLUMN()-2,4))*INDIRECT(ADDRESS(ROW(),COLUMN()-1,4))</f>
        <v>50000</v>
      </c>
      <c r="G1226" s="50"/>
    </row>
    <row r="1227" spans="1:7" x14ac:dyDescent="0.25">
      <c r="A1227" s="50"/>
      <c r="B1227" s="50"/>
      <c r="C1227" s="50"/>
      <c r="D1227" s="50"/>
      <c r="E1227" s="54" t="s">
        <v>49</v>
      </c>
      <c r="F1227" s="49">
        <f ca="1">SUM(Table384[MONTO TOTAL ESTIMADO])</f>
        <v>50000</v>
      </c>
      <c r="G1227" s="50"/>
    </row>
    <row r="1228" spans="1:7" ht="17.25" thickBot="1" x14ac:dyDescent="0.3">
      <c r="A1228" s="30"/>
      <c r="B1228" s="30"/>
      <c r="C1228" s="30"/>
      <c r="D1228" s="30"/>
      <c r="E1228" s="30"/>
      <c r="F1228" s="30"/>
      <c r="G1228" s="30"/>
    </row>
    <row r="1229" spans="1:7" ht="34.5" thickBot="1" x14ac:dyDescent="0.3">
      <c r="A1229" s="31" t="s">
        <v>18</v>
      </c>
      <c r="B1229" s="31" t="s">
        <v>19</v>
      </c>
      <c r="C1229" s="31" t="s">
        <v>20</v>
      </c>
      <c r="D1229" s="31" t="s">
        <v>21</v>
      </c>
      <c r="E1229" s="31" t="s">
        <v>22</v>
      </c>
      <c r="F1229" s="31" t="s">
        <v>23</v>
      </c>
      <c r="G1229" s="50"/>
    </row>
    <row r="1230" spans="1:7" ht="15.75" thickBot="1" x14ac:dyDescent="0.3">
      <c r="A1230" s="33" t="s">
        <v>111</v>
      </c>
      <c r="B1230" s="33" t="s">
        <v>112</v>
      </c>
      <c r="C1230" s="33" t="s">
        <v>74</v>
      </c>
      <c r="D1230" s="33" t="s">
        <v>52</v>
      </c>
      <c r="E1230" s="33" t="s">
        <v>53</v>
      </c>
      <c r="F1230" s="33"/>
      <c r="G1230" s="50"/>
    </row>
    <row r="1231" spans="1:7" ht="15.75" thickBot="1" x14ac:dyDescent="0.3">
      <c r="A1231" s="34" t="s">
        <v>28</v>
      </c>
      <c r="B1231" s="35" t="s">
        <v>29</v>
      </c>
      <c r="C1231" s="51">
        <v>45097</v>
      </c>
      <c r="D1231" s="34" t="s">
        <v>30</v>
      </c>
      <c r="E1231" s="35" t="s">
        <v>31</v>
      </c>
      <c r="F1231" s="33" t="s">
        <v>32</v>
      </c>
      <c r="G1231" s="50"/>
    </row>
    <row r="1232" spans="1:7" ht="15.75" thickBot="1" x14ac:dyDescent="0.3">
      <c r="A1232" s="39"/>
      <c r="B1232" s="35" t="s">
        <v>33</v>
      </c>
      <c r="C1232" s="52">
        <f>IF(C1231="","",IF(AND(MONTH(C1231)&gt;=1,MONTH(C1231)&lt;=3),1,IF(AND(MONTH(C1231)&gt;=4,MONTH(C1231)&lt;=6),2,IF(AND(MONTH(C1231)&gt;=7,MONTH(C1231)&lt;=9),3,4))))</f>
        <v>2</v>
      </c>
      <c r="D1232" s="39"/>
      <c r="E1232" s="35" t="s">
        <v>34</v>
      </c>
      <c r="F1232" s="33" t="s">
        <v>35</v>
      </c>
      <c r="G1232" s="50"/>
    </row>
    <row r="1233" spans="1:7" ht="15.75" thickBot="1" x14ac:dyDescent="0.3">
      <c r="A1233" s="39"/>
      <c r="B1233" s="35" t="s">
        <v>36</v>
      </c>
      <c r="C1233" s="51">
        <v>45107</v>
      </c>
      <c r="D1233" s="39"/>
      <c r="E1233" s="35" t="s">
        <v>37</v>
      </c>
      <c r="F1233" s="33" t="s">
        <v>35</v>
      </c>
      <c r="G1233" s="50"/>
    </row>
    <row r="1234" spans="1:7" ht="15.75" thickBot="1" x14ac:dyDescent="0.3">
      <c r="A1234" s="39"/>
      <c r="B1234" s="35" t="s">
        <v>33</v>
      </c>
      <c r="C1234" s="52">
        <f>IF(C1233="","",IF(AND(MONTH(C1233)&gt;=1,MONTH(C1233)&lt;=3),1,IF(AND(MONTH(C1233)&gt;=4,MONTH(C1233)&lt;=6),2,IF(AND(MONTH(C1233)&gt;=7,MONTH(C1233)&lt;=9),3,4))))</f>
        <v>2</v>
      </c>
      <c r="D1234" s="39"/>
      <c r="E1234" s="35" t="s">
        <v>38</v>
      </c>
      <c r="F1234" s="33" t="s">
        <v>35</v>
      </c>
      <c r="G1234" s="50"/>
    </row>
    <row r="1235" spans="1:7" ht="15.75" thickBot="1" x14ac:dyDescent="0.3">
      <c r="A1235" s="50"/>
      <c r="B1235" s="50"/>
      <c r="C1235" s="50"/>
      <c r="D1235" s="50"/>
      <c r="E1235" s="50"/>
      <c r="F1235" s="50"/>
      <c r="G1235" s="50"/>
    </row>
    <row r="1236" spans="1:7" ht="15.75" thickBot="1" x14ac:dyDescent="0.3">
      <c r="A1236" s="41" t="s">
        <v>39</v>
      </c>
      <c r="B1236" s="41" t="s">
        <v>40</v>
      </c>
      <c r="C1236" s="41" t="s">
        <v>41</v>
      </c>
      <c r="D1236" s="41" t="s">
        <v>42</v>
      </c>
      <c r="E1236" s="41" t="s">
        <v>43</v>
      </c>
      <c r="F1236" s="41" t="s">
        <v>44</v>
      </c>
      <c r="G1236" s="50"/>
    </row>
    <row r="1237" spans="1:7" ht="56.25" x14ac:dyDescent="0.25">
      <c r="A1237" s="42">
        <v>81111812</v>
      </c>
      <c r="B1237" s="43" t="str">
        <f ca="1">IFERROR(INDEX(UNSPSCDes,MATCH(INDIRECT(ADDRESS(ROW(),COLUMN()-1,4)),UNSPSCCode,0)),"")</f>
        <v>Servicio de mantenimiento o soporte del hardware del computador</v>
      </c>
      <c r="C1237" s="42" t="s">
        <v>46</v>
      </c>
      <c r="D1237" s="42">
        <v>1</v>
      </c>
      <c r="E1237" s="45">
        <v>50000</v>
      </c>
      <c r="F1237" s="46">
        <f ca="1">INDIRECT(ADDRESS(ROW(),COLUMN()-2,4))*INDIRECT(ADDRESS(ROW(),COLUMN()-1,4))</f>
        <v>50000</v>
      </c>
      <c r="G1237" s="50"/>
    </row>
    <row r="1238" spans="1:7" x14ac:dyDescent="0.25">
      <c r="A1238" s="50"/>
      <c r="B1238" s="50"/>
      <c r="C1238" s="50"/>
      <c r="D1238" s="50"/>
      <c r="E1238" s="54" t="s">
        <v>49</v>
      </c>
      <c r="F1238" s="49">
        <f ca="1">SUM(Table385[MONTO TOTAL ESTIMADO])</f>
        <v>50000</v>
      </c>
      <c r="G1238" s="50"/>
    </row>
    <row r="1239" spans="1:7" ht="17.25" thickBot="1" x14ac:dyDescent="0.3">
      <c r="A1239" s="30"/>
      <c r="B1239" s="30"/>
      <c r="C1239" s="30"/>
      <c r="D1239" s="30"/>
      <c r="E1239" s="30"/>
      <c r="F1239" s="30"/>
      <c r="G1239" s="30"/>
    </row>
    <row r="1240" spans="1:7" ht="34.5" thickBot="1" x14ac:dyDescent="0.3">
      <c r="A1240" s="31" t="s">
        <v>18</v>
      </c>
      <c r="B1240" s="31" t="s">
        <v>19</v>
      </c>
      <c r="C1240" s="31" t="s">
        <v>20</v>
      </c>
      <c r="D1240" s="31" t="s">
        <v>21</v>
      </c>
      <c r="E1240" s="31" t="s">
        <v>22</v>
      </c>
      <c r="F1240" s="31" t="s">
        <v>23</v>
      </c>
      <c r="G1240" s="50"/>
    </row>
    <row r="1241" spans="1:7" ht="15.75" thickBot="1" x14ac:dyDescent="0.3">
      <c r="A1241" s="33" t="s">
        <v>93</v>
      </c>
      <c r="B1241" s="33" t="s">
        <v>94</v>
      </c>
      <c r="C1241" s="33" t="s">
        <v>26</v>
      </c>
      <c r="D1241" s="33" t="s">
        <v>27</v>
      </c>
      <c r="E1241" s="33" t="s">
        <v>56</v>
      </c>
      <c r="F1241" s="33"/>
      <c r="G1241" s="50"/>
    </row>
    <row r="1242" spans="1:7" ht="15.75" thickBot="1" x14ac:dyDescent="0.3">
      <c r="A1242" s="34" t="s">
        <v>28</v>
      </c>
      <c r="B1242" s="35" t="s">
        <v>29</v>
      </c>
      <c r="C1242" s="51">
        <v>45089</v>
      </c>
      <c r="D1242" s="34" t="s">
        <v>30</v>
      </c>
      <c r="E1242" s="35" t="s">
        <v>31</v>
      </c>
      <c r="F1242" s="33"/>
      <c r="G1242" s="50"/>
    </row>
    <row r="1243" spans="1:7" ht="15.75" thickBot="1" x14ac:dyDescent="0.3">
      <c r="A1243" s="39"/>
      <c r="B1243" s="35" t="s">
        <v>33</v>
      </c>
      <c r="C1243" s="52">
        <f>IF(C1242="","",IF(AND(MONTH(C1242)&gt;=1,MONTH(C1242)&lt;=3),1,IF(AND(MONTH(C1242)&gt;=4,MONTH(C1242)&lt;=6),2,IF(AND(MONTH(C1242)&gt;=7,MONTH(C1242)&lt;=9),3,4))))</f>
        <v>2</v>
      </c>
      <c r="D1243" s="39"/>
      <c r="E1243" s="35" t="s">
        <v>34</v>
      </c>
      <c r="F1243" s="33"/>
      <c r="G1243" s="50"/>
    </row>
    <row r="1244" spans="1:7" ht="15.75" thickBot="1" x14ac:dyDescent="0.3">
      <c r="A1244" s="39"/>
      <c r="B1244" s="35" t="s">
        <v>36</v>
      </c>
      <c r="C1244" s="51">
        <v>45097</v>
      </c>
      <c r="D1244" s="39"/>
      <c r="E1244" s="35" t="s">
        <v>37</v>
      </c>
      <c r="F1244" s="33"/>
      <c r="G1244" s="50"/>
    </row>
    <row r="1245" spans="1:7" ht="15.75" thickBot="1" x14ac:dyDescent="0.3">
      <c r="A1245" s="39"/>
      <c r="B1245" s="35" t="s">
        <v>33</v>
      </c>
      <c r="C1245" s="52">
        <f>IF(C1244="","",IF(AND(MONTH(C1244)&gt;=1,MONTH(C1244)&lt;=3),1,IF(AND(MONTH(C1244)&gt;=4,MONTH(C1244)&lt;=6),2,IF(AND(MONTH(C1244)&gt;=7,MONTH(C1244)&lt;=9),3,4))))</f>
        <v>2</v>
      </c>
      <c r="D1245" s="39"/>
      <c r="E1245" s="35" t="s">
        <v>38</v>
      </c>
      <c r="F1245" s="33"/>
      <c r="G1245" s="50"/>
    </row>
    <row r="1246" spans="1:7" ht="15.75" thickBot="1" x14ac:dyDescent="0.3">
      <c r="A1246" s="50"/>
      <c r="B1246" s="50"/>
      <c r="C1246" s="50"/>
      <c r="D1246" s="50"/>
      <c r="E1246" s="50"/>
      <c r="F1246" s="50"/>
      <c r="G1246" s="50"/>
    </row>
    <row r="1247" spans="1:7" ht="15.75" thickBot="1" x14ac:dyDescent="0.3">
      <c r="A1247" s="41" t="s">
        <v>39</v>
      </c>
      <c r="B1247" s="41" t="s">
        <v>40</v>
      </c>
      <c r="C1247" s="41" t="s">
        <v>41</v>
      </c>
      <c r="D1247" s="41" t="s">
        <v>42</v>
      </c>
      <c r="E1247" s="41" t="s">
        <v>43</v>
      </c>
      <c r="F1247" s="41" t="s">
        <v>44</v>
      </c>
      <c r="G1247" s="50"/>
    </row>
    <row r="1248" spans="1:7" ht="33.75" x14ac:dyDescent="0.25">
      <c r="A1248" s="42">
        <v>43232101</v>
      </c>
      <c r="B1248" s="43" t="str">
        <f ca="1">IFERROR(INDEX(UNSPSCDes,MATCH(INDIRECT(ADDRESS(ROW(),COLUMN()-1,4)),UNSPSCCode,0)),"")</f>
        <v>Software de diseño de patrones</v>
      </c>
      <c r="C1248" s="42" t="s">
        <v>46</v>
      </c>
      <c r="D1248" s="42">
        <v>3</v>
      </c>
      <c r="E1248" s="45">
        <v>80000</v>
      </c>
      <c r="F1248" s="46">
        <f ca="1">INDIRECT(ADDRESS(ROW(),COLUMN()-2,4))*INDIRECT(ADDRESS(ROW(),COLUMN()-1,4))</f>
        <v>240000</v>
      </c>
      <c r="G1248" s="50"/>
    </row>
    <row r="1249" spans="1:7" ht="33.75" x14ac:dyDescent="0.25">
      <c r="A1249" s="42">
        <v>43232101</v>
      </c>
      <c r="B1249" s="43" t="str">
        <f ca="1">IFERROR(INDEX(UNSPSCDes,MATCH(INDIRECT(ADDRESS(ROW(),COLUMN()-1,4)),UNSPSCCode,0)),"")</f>
        <v>Software de diseño de patrones</v>
      </c>
      <c r="C1249" s="42" t="s">
        <v>46</v>
      </c>
      <c r="D1249" s="42">
        <v>1</v>
      </c>
      <c r="E1249" s="45">
        <v>80000</v>
      </c>
      <c r="F1249" s="46">
        <f ca="1">INDIRECT(ADDRESS(ROW(),COLUMN()-2,4))*INDIRECT(ADDRESS(ROW(),COLUMN()-1,4))</f>
        <v>80000</v>
      </c>
      <c r="G1249" s="50"/>
    </row>
    <row r="1250" spans="1:7" x14ac:dyDescent="0.25">
      <c r="A1250" s="50"/>
      <c r="B1250" s="50"/>
      <c r="C1250" s="50"/>
      <c r="D1250" s="50"/>
      <c r="E1250" s="54" t="s">
        <v>49</v>
      </c>
      <c r="F1250" s="49">
        <f ca="1">SUM(Table386[MONTO TOTAL ESTIMADO])</f>
        <v>320000</v>
      </c>
      <c r="G1250" s="50"/>
    </row>
    <row r="1251" spans="1:7" ht="17.25" thickBot="1" x14ac:dyDescent="0.3">
      <c r="A1251" s="30"/>
      <c r="B1251" s="30"/>
      <c r="C1251" s="30"/>
      <c r="D1251" s="30"/>
      <c r="E1251" s="30"/>
      <c r="F1251" s="30"/>
      <c r="G1251" s="30"/>
    </row>
    <row r="1252" spans="1:7" ht="34.5" thickBot="1" x14ac:dyDescent="0.3">
      <c r="A1252" s="31" t="s">
        <v>18</v>
      </c>
      <c r="B1252" s="31" t="s">
        <v>19</v>
      </c>
      <c r="C1252" s="31" t="s">
        <v>20</v>
      </c>
      <c r="D1252" s="31" t="s">
        <v>21</v>
      </c>
      <c r="E1252" s="31" t="s">
        <v>22</v>
      </c>
      <c r="F1252" s="31" t="s">
        <v>23</v>
      </c>
      <c r="G1252" s="50"/>
    </row>
    <row r="1253" spans="1:7" ht="15.75" thickBot="1" x14ac:dyDescent="0.3">
      <c r="A1253" s="33" t="s">
        <v>76</v>
      </c>
      <c r="B1253" s="33" t="s">
        <v>77</v>
      </c>
      <c r="C1253" s="33" t="s">
        <v>74</v>
      </c>
      <c r="D1253" s="33" t="s">
        <v>52</v>
      </c>
      <c r="E1253" s="33" t="s">
        <v>53</v>
      </c>
      <c r="F1253" s="33"/>
      <c r="G1253" s="50"/>
    </row>
    <row r="1254" spans="1:7" ht="15.75" thickBot="1" x14ac:dyDescent="0.3">
      <c r="A1254" s="34" t="s">
        <v>28</v>
      </c>
      <c r="B1254" s="35" t="s">
        <v>29</v>
      </c>
      <c r="C1254" s="51">
        <v>45110</v>
      </c>
      <c r="D1254" s="34" t="s">
        <v>30</v>
      </c>
      <c r="E1254" s="35" t="s">
        <v>31</v>
      </c>
      <c r="F1254" s="33" t="s">
        <v>32</v>
      </c>
      <c r="G1254" s="50"/>
    </row>
    <row r="1255" spans="1:7" ht="15.75" thickBot="1" x14ac:dyDescent="0.3">
      <c r="A1255" s="39"/>
      <c r="B1255" s="35" t="s">
        <v>33</v>
      </c>
      <c r="C1255" s="52">
        <f>IF(C1254="","",IF(AND(MONTH(C1254)&gt;=1,MONTH(C1254)&lt;=3),1,IF(AND(MONTH(C1254)&gt;=4,MONTH(C1254)&lt;=6),2,IF(AND(MONTH(C1254)&gt;=7,MONTH(C1254)&lt;=9),3,4))))</f>
        <v>3</v>
      </c>
      <c r="D1255" s="39"/>
      <c r="E1255" s="35" t="s">
        <v>34</v>
      </c>
      <c r="F1255" s="33" t="s">
        <v>35</v>
      </c>
      <c r="G1255" s="50"/>
    </row>
    <row r="1256" spans="1:7" ht="15.75" thickBot="1" x14ac:dyDescent="0.3">
      <c r="A1256" s="39"/>
      <c r="B1256" s="35" t="s">
        <v>36</v>
      </c>
      <c r="C1256" s="51">
        <v>45119</v>
      </c>
      <c r="D1256" s="39"/>
      <c r="E1256" s="35" t="s">
        <v>37</v>
      </c>
      <c r="F1256" s="33" t="s">
        <v>35</v>
      </c>
      <c r="G1256" s="50"/>
    </row>
    <row r="1257" spans="1:7" ht="15.75" thickBot="1" x14ac:dyDescent="0.3">
      <c r="A1257" s="39"/>
      <c r="B1257" s="35" t="s">
        <v>33</v>
      </c>
      <c r="C1257" s="52">
        <f>IF(C1256="","",IF(AND(MONTH(C1256)&gt;=1,MONTH(C1256)&lt;=3),1,IF(AND(MONTH(C1256)&gt;=4,MONTH(C1256)&lt;=6),2,IF(AND(MONTH(C1256)&gt;=7,MONTH(C1256)&lt;=9),3,4))))</f>
        <v>3</v>
      </c>
      <c r="D1257" s="39"/>
      <c r="E1257" s="35" t="s">
        <v>38</v>
      </c>
      <c r="F1257" s="33" t="s">
        <v>35</v>
      </c>
      <c r="G1257" s="50"/>
    </row>
    <row r="1258" spans="1:7" ht="15.75" thickBot="1" x14ac:dyDescent="0.3">
      <c r="A1258" s="50"/>
      <c r="B1258" s="50"/>
      <c r="C1258" s="50"/>
      <c r="D1258" s="50"/>
      <c r="E1258" s="50"/>
      <c r="F1258" s="50"/>
      <c r="G1258" s="50"/>
    </row>
    <row r="1259" spans="1:7" ht="15.75" thickBot="1" x14ac:dyDescent="0.3">
      <c r="A1259" s="41" t="s">
        <v>39</v>
      </c>
      <c r="B1259" s="41" t="s">
        <v>40</v>
      </c>
      <c r="C1259" s="41" t="s">
        <v>41</v>
      </c>
      <c r="D1259" s="41" t="s">
        <v>42</v>
      </c>
      <c r="E1259" s="41" t="s">
        <v>43</v>
      </c>
      <c r="F1259" s="41" t="s">
        <v>44</v>
      </c>
      <c r="G1259" s="50"/>
    </row>
    <row r="1260" spans="1:7" ht="33.75" x14ac:dyDescent="0.25">
      <c r="A1260" s="42">
        <v>72102103</v>
      </c>
      <c r="B1260" s="43" t="str">
        <f ca="1">IFERROR(INDEX(UNSPSCDes,MATCH(INDIRECT(ADDRESS(ROW(),COLUMN()-1,4)),UNSPSCCode,0)),"")</f>
        <v>Servicios de exterminación o fumigación</v>
      </c>
      <c r="C1260" s="42" t="s">
        <v>46</v>
      </c>
      <c r="D1260" s="42">
        <v>1</v>
      </c>
      <c r="E1260" s="45">
        <v>100000</v>
      </c>
      <c r="F1260" s="46">
        <f ca="1">INDIRECT(ADDRESS(ROW(),COLUMN()-2,4))*INDIRECT(ADDRESS(ROW(),COLUMN()-1,4))</f>
        <v>100000</v>
      </c>
      <c r="G1260" s="50"/>
    </row>
    <row r="1261" spans="1:7" x14ac:dyDescent="0.25">
      <c r="A1261" s="50"/>
      <c r="B1261" s="50"/>
      <c r="C1261" s="50"/>
      <c r="D1261" s="50"/>
      <c r="E1261" s="54" t="s">
        <v>49</v>
      </c>
      <c r="F1261" s="49">
        <f ca="1">SUM(Table387[MONTO TOTAL ESTIMADO])</f>
        <v>100000</v>
      </c>
      <c r="G1261" s="50"/>
    </row>
    <row r="1262" spans="1:7" ht="17.25" thickBot="1" x14ac:dyDescent="0.3">
      <c r="A1262" s="30"/>
      <c r="B1262" s="30"/>
      <c r="C1262" s="30"/>
      <c r="D1262" s="30"/>
      <c r="E1262" s="30"/>
      <c r="F1262" s="30"/>
      <c r="G1262" s="30"/>
    </row>
    <row r="1263" spans="1:7" ht="34.5" thickBot="1" x14ac:dyDescent="0.3">
      <c r="A1263" s="31" t="s">
        <v>18</v>
      </c>
      <c r="B1263" s="31" t="s">
        <v>19</v>
      </c>
      <c r="C1263" s="31" t="s">
        <v>20</v>
      </c>
      <c r="D1263" s="31" t="s">
        <v>21</v>
      </c>
      <c r="E1263" s="31" t="s">
        <v>22</v>
      </c>
      <c r="F1263" s="31" t="s">
        <v>23</v>
      </c>
      <c r="G1263" s="50"/>
    </row>
    <row r="1264" spans="1:7" ht="15.75" thickBot="1" x14ac:dyDescent="0.3">
      <c r="A1264" s="33" t="s">
        <v>131</v>
      </c>
      <c r="B1264" s="33" t="s">
        <v>132</v>
      </c>
      <c r="C1264" s="33" t="s">
        <v>26</v>
      </c>
      <c r="D1264" s="33" t="s">
        <v>27</v>
      </c>
      <c r="E1264" s="33" t="s">
        <v>56</v>
      </c>
      <c r="F1264" s="33"/>
      <c r="G1264" s="50"/>
    </row>
    <row r="1265" spans="1:7" ht="15.75" thickBot="1" x14ac:dyDescent="0.3">
      <c r="A1265" s="34" t="s">
        <v>28</v>
      </c>
      <c r="B1265" s="35" t="s">
        <v>29</v>
      </c>
      <c r="C1265" s="51">
        <v>45121</v>
      </c>
      <c r="D1265" s="34" t="s">
        <v>30</v>
      </c>
      <c r="E1265" s="35" t="s">
        <v>31</v>
      </c>
      <c r="F1265" s="33" t="s">
        <v>32</v>
      </c>
      <c r="G1265" s="50"/>
    </row>
    <row r="1266" spans="1:7" ht="15.75" thickBot="1" x14ac:dyDescent="0.3">
      <c r="A1266" s="39"/>
      <c r="B1266" s="35" t="s">
        <v>33</v>
      </c>
      <c r="C1266" s="52">
        <f>IF(C1265="","",IF(AND(MONTH(C1265)&gt;=1,MONTH(C1265)&lt;=3),1,IF(AND(MONTH(C1265)&gt;=4,MONTH(C1265)&lt;=6),2,IF(AND(MONTH(C1265)&gt;=7,MONTH(C1265)&lt;=9),3,4))))</f>
        <v>3</v>
      </c>
      <c r="D1266" s="39"/>
      <c r="E1266" s="35" t="s">
        <v>34</v>
      </c>
      <c r="F1266" s="33" t="s">
        <v>35</v>
      </c>
      <c r="G1266" s="50"/>
    </row>
    <row r="1267" spans="1:7" ht="15.75" thickBot="1" x14ac:dyDescent="0.3">
      <c r="A1267" s="39"/>
      <c r="B1267" s="35" t="s">
        <v>36</v>
      </c>
      <c r="C1267" s="51">
        <v>45131</v>
      </c>
      <c r="D1267" s="39"/>
      <c r="E1267" s="35" t="s">
        <v>37</v>
      </c>
      <c r="F1267" s="33" t="s">
        <v>35</v>
      </c>
      <c r="G1267" s="50"/>
    </row>
    <row r="1268" spans="1:7" ht="15.75" thickBot="1" x14ac:dyDescent="0.3">
      <c r="A1268" s="39"/>
      <c r="B1268" s="35" t="s">
        <v>33</v>
      </c>
      <c r="C1268" s="52">
        <f>IF(C1267="","",IF(AND(MONTH(C1267)&gt;=1,MONTH(C1267)&lt;=3),1,IF(AND(MONTH(C1267)&gt;=4,MONTH(C1267)&lt;=6),2,IF(AND(MONTH(C1267)&gt;=7,MONTH(C1267)&lt;=9),3,4))))</f>
        <v>3</v>
      </c>
      <c r="D1268" s="39"/>
      <c r="E1268" s="35" t="s">
        <v>38</v>
      </c>
      <c r="F1268" s="33" t="s">
        <v>35</v>
      </c>
      <c r="G1268" s="50"/>
    </row>
    <row r="1269" spans="1:7" ht="15.75" thickBot="1" x14ac:dyDescent="0.3">
      <c r="A1269" s="50"/>
      <c r="B1269" s="50"/>
      <c r="C1269" s="50"/>
      <c r="D1269" s="50"/>
      <c r="E1269" s="50"/>
      <c r="F1269" s="50"/>
      <c r="G1269" s="50"/>
    </row>
    <row r="1270" spans="1:7" ht="15.75" thickBot="1" x14ac:dyDescent="0.3">
      <c r="A1270" s="41" t="s">
        <v>39</v>
      </c>
      <c r="B1270" s="41" t="s">
        <v>40</v>
      </c>
      <c r="C1270" s="41" t="s">
        <v>41</v>
      </c>
      <c r="D1270" s="41" t="s">
        <v>42</v>
      </c>
      <c r="E1270" s="41" t="s">
        <v>43</v>
      </c>
      <c r="F1270" s="41" t="s">
        <v>44</v>
      </c>
      <c r="G1270" s="50"/>
    </row>
    <row r="1271" spans="1:7" ht="33.75" x14ac:dyDescent="0.25">
      <c r="A1271" s="42">
        <v>25172504</v>
      </c>
      <c r="B1271" s="43" t="str">
        <f t="shared" ref="B1271:B1276" ca="1" si="25">IFERROR(INDEX(UNSPSCDes,MATCH(INDIRECT(ADDRESS(ROW(),COLUMN()-1,4)),UNSPSCCode,0)),"")</f>
        <v>Llantas para automóviles o camionetas</v>
      </c>
      <c r="C1271" s="42" t="s">
        <v>46</v>
      </c>
      <c r="D1271" s="42">
        <v>12</v>
      </c>
      <c r="E1271" s="45">
        <v>12000</v>
      </c>
      <c r="F1271" s="46">
        <f t="shared" ref="F1271:F1276" ca="1" si="26">INDIRECT(ADDRESS(ROW(),COLUMN()-2,4))*INDIRECT(ADDRESS(ROW(),COLUMN()-1,4))</f>
        <v>144000</v>
      </c>
      <c r="G1271" s="50"/>
    </row>
    <row r="1272" spans="1:7" ht="33.75" x14ac:dyDescent="0.25">
      <c r="A1272" s="42">
        <v>25172504</v>
      </c>
      <c r="B1272" s="43" t="str">
        <f t="shared" ca="1" si="25"/>
        <v>Llantas para automóviles o camionetas</v>
      </c>
      <c r="C1272" s="42" t="s">
        <v>46</v>
      </c>
      <c r="D1272" s="42">
        <v>8</v>
      </c>
      <c r="E1272" s="45">
        <v>12800</v>
      </c>
      <c r="F1272" s="46">
        <f t="shared" ca="1" si="26"/>
        <v>102400</v>
      </c>
      <c r="G1272" s="50"/>
    </row>
    <row r="1273" spans="1:7" ht="33.75" x14ac:dyDescent="0.25">
      <c r="A1273" s="42">
        <v>25172504</v>
      </c>
      <c r="B1273" s="43" t="str">
        <f t="shared" ca="1" si="25"/>
        <v>Llantas para automóviles o camionetas</v>
      </c>
      <c r="C1273" s="42" t="s">
        <v>46</v>
      </c>
      <c r="D1273" s="42">
        <v>6</v>
      </c>
      <c r="E1273" s="45">
        <v>12500</v>
      </c>
      <c r="F1273" s="46">
        <f t="shared" ca="1" si="26"/>
        <v>75000</v>
      </c>
      <c r="G1273" s="50"/>
    </row>
    <row r="1274" spans="1:7" ht="33.75" x14ac:dyDescent="0.25">
      <c r="A1274" s="42">
        <v>25172504</v>
      </c>
      <c r="B1274" s="43" t="str">
        <f t="shared" ca="1" si="25"/>
        <v>Llantas para automóviles o camionetas</v>
      </c>
      <c r="C1274" s="42" t="s">
        <v>46</v>
      </c>
      <c r="D1274" s="42">
        <v>4</v>
      </c>
      <c r="E1274" s="45">
        <v>14800</v>
      </c>
      <c r="F1274" s="46">
        <f t="shared" ca="1" si="26"/>
        <v>59200</v>
      </c>
      <c r="G1274" s="50"/>
    </row>
    <row r="1275" spans="1:7" ht="33.75" x14ac:dyDescent="0.25">
      <c r="A1275" s="42">
        <v>25172504</v>
      </c>
      <c r="B1275" s="43" t="str">
        <f t="shared" ca="1" si="25"/>
        <v>Llantas para automóviles o camionetas</v>
      </c>
      <c r="C1275" s="42" t="s">
        <v>46</v>
      </c>
      <c r="D1275" s="42">
        <v>4</v>
      </c>
      <c r="E1275" s="45">
        <v>11000</v>
      </c>
      <c r="F1275" s="46">
        <f t="shared" ca="1" si="26"/>
        <v>44000</v>
      </c>
      <c r="G1275" s="50"/>
    </row>
    <row r="1276" spans="1:7" ht="33.75" x14ac:dyDescent="0.25">
      <c r="A1276" s="42">
        <v>25172504</v>
      </c>
      <c r="B1276" s="43" t="str">
        <f t="shared" ca="1" si="25"/>
        <v>Llantas para automóviles o camionetas</v>
      </c>
      <c r="C1276" s="42" t="s">
        <v>46</v>
      </c>
      <c r="D1276" s="42">
        <v>2</v>
      </c>
      <c r="E1276" s="45">
        <v>10900</v>
      </c>
      <c r="F1276" s="46">
        <f t="shared" ca="1" si="26"/>
        <v>21800</v>
      </c>
      <c r="G1276" s="50"/>
    </row>
    <row r="1277" spans="1:7" x14ac:dyDescent="0.25">
      <c r="A1277" s="50"/>
      <c r="B1277" s="50"/>
      <c r="C1277" s="50"/>
      <c r="D1277" s="50"/>
      <c r="E1277" s="54" t="s">
        <v>49</v>
      </c>
      <c r="F1277" s="49">
        <f ca="1">SUM(Table388[MONTO TOTAL ESTIMADO])</f>
        <v>446400</v>
      </c>
      <c r="G1277" s="50"/>
    </row>
    <row r="1278" spans="1:7" ht="17.25" thickBot="1" x14ac:dyDescent="0.3">
      <c r="A1278" s="30"/>
      <c r="B1278" s="30"/>
      <c r="C1278" s="30"/>
      <c r="D1278" s="30"/>
      <c r="E1278" s="30"/>
      <c r="F1278" s="30"/>
      <c r="G1278" s="30"/>
    </row>
    <row r="1279" spans="1:7" ht="34.5" thickBot="1" x14ac:dyDescent="0.3">
      <c r="A1279" s="31" t="s">
        <v>18</v>
      </c>
      <c r="B1279" s="31" t="s">
        <v>19</v>
      </c>
      <c r="C1279" s="31" t="s">
        <v>20</v>
      </c>
      <c r="D1279" s="31" t="s">
        <v>21</v>
      </c>
      <c r="E1279" s="31" t="s">
        <v>22</v>
      </c>
      <c r="F1279" s="31" t="s">
        <v>23</v>
      </c>
      <c r="G1279" s="50"/>
    </row>
    <row r="1280" spans="1:7" ht="15.75" thickBot="1" x14ac:dyDescent="0.3">
      <c r="A1280" s="33" t="s">
        <v>133</v>
      </c>
      <c r="B1280" s="33" t="s">
        <v>133</v>
      </c>
      <c r="C1280" s="33" t="s">
        <v>134</v>
      </c>
      <c r="D1280" s="33" t="s">
        <v>27</v>
      </c>
      <c r="E1280" s="33" t="s">
        <v>56</v>
      </c>
      <c r="F1280" s="33"/>
      <c r="G1280" s="50"/>
    </row>
    <row r="1281" spans="1:7" ht="15.75" thickBot="1" x14ac:dyDescent="0.3">
      <c r="A1281" s="34" t="s">
        <v>28</v>
      </c>
      <c r="B1281" s="35" t="s">
        <v>29</v>
      </c>
      <c r="C1281" s="51">
        <v>45112</v>
      </c>
      <c r="D1281" s="34" t="s">
        <v>30</v>
      </c>
      <c r="E1281" s="35" t="s">
        <v>31</v>
      </c>
      <c r="F1281" s="33" t="s">
        <v>32</v>
      </c>
      <c r="G1281" s="50"/>
    </row>
    <row r="1282" spans="1:7" ht="15.75" thickBot="1" x14ac:dyDescent="0.3">
      <c r="A1282" s="39"/>
      <c r="B1282" s="35" t="s">
        <v>33</v>
      </c>
      <c r="C1282" s="52">
        <f>IF(C1281="","",IF(AND(MONTH(C1281)&gt;=1,MONTH(C1281)&lt;=3),1,IF(AND(MONTH(C1281)&gt;=4,MONTH(C1281)&lt;=6),2,IF(AND(MONTH(C1281)&gt;=7,MONTH(C1281)&lt;=9),3,4))))</f>
        <v>3</v>
      </c>
      <c r="D1282" s="39"/>
      <c r="E1282" s="35" t="s">
        <v>34</v>
      </c>
      <c r="F1282" s="33" t="s">
        <v>35</v>
      </c>
      <c r="G1282" s="50"/>
    </row>
    <row r="1283" spans="1:7" ht="15.75" thickBot="1" x14ac:dyDescent="0.3">
      <c r="A1283" s="39"/>
      <c r="B1283" s="35" t="s">
        <v>36</v>
      </c>
      <c r="C1283" s="51">
        <v>45121</v>
      </c>
      <c r="D1283" s="39"/>
      <c r="E1283" s="35" t="s">
        <v>37</v>
      </c>
      <c r="F1283" s="33" t="s">
        <v>35</v>
      </c>
      <c r="G1283" s="50"/>
    </row>
    <row r="1284" spans="1:7" ht="15.75" thickBot="1" x14ac:dyDescent="0.3">
      <c r="A1284" s="39"/>
      <c r="B1284" s="35" t="s">
        <v>33</v>
      </c>
      <c r="C1284" s="52">
        <f>IF(C1283="","",IF(AND(MONTH(C1283)&gt;=1,MONTH(C1283)&lt;=3),1,IF(AND(MONTH(C1283)&gt;=4,MONTH(C1283)&lt;=6),2,IF(AND(MONTH(C1283)&gt;=7,MONTH(C1283)&lt;=9),3,4))))</f>
        <v>3</v>
      </c>
      <c r="D1284" s="39"/>
      <c r="E1284" s="35" t="s">
        <v>38</v>
      </c>
      <c r="F1284" s="33" t="s">
        <v>35</v>
      </c>
      <c r="G1284" s="50"/>
    </row>
    <row r="1285" spans="1:7" ht="15.75" thickBot="1" x14ac:dyDescent="0.3">
      <c r="A1285" s="50"/>
      <c r="B1285" s="50"/>
      <c r="C1285" s="50"/>
      <c r="D1285" s="50"/>
      <c r="E1285" s="50"/>
      <c r="F1285" s="50"/>
      <c r="G1285" s="50"/>
    </row>
    <row r="1286" spans="1:7" ht="15.75" thickBot="1" x14ac:dyDescent="0.3">
      <c r="A1286" s="41" t="s">
        <v>39</v>
      </c>
      <c r="B1286" s="41" t="s">
        <v>40</v>
      </c>
      <c r="C1286" s="41" t="s">
        <v>41</v>
      </c>
      <c r="D1286" s="41" t="s">
        <v>42</v>
      </c>
      <c r="E1286" s="41" t="s">
        <v>43</v>
      </c>
      <c r="F1286" s="41" t="s">
        <v>44</v>
      </c>
      <c r="G1286" s="50"/>
    </row>
    <row r="1287" spans="1:7" ht="33.75" x14ac:dyDescent="0.25">
      <c r="A1287" s="42">
        <v>80101604</v>
      </c>
      <c r="B1287" s="43" t="str">
        <f ca="1">IFERROR(INDEX(UNSPSCDes,MATCH(INDIRECT(ADDRESS(ROW(),COLUMN()-1,4)),UNSPSCCode,0)),"")</f>
        <v>Planificación o administración de proyectos</v>
      </c>
      <c r="C1287" s="42" t="s">
        <v>46</v>
      </c>
      <c r="D1287" s="42">
        <v>1</v>
      </c>
      <c r="E1287" s="45">
        <v>600000</v>
      </c>
      <c r="F1287" s="46">
        <f ca="1">INDIRECT(ADDRESS(ROW(),COLUMN()-2,4))*INDIRECT(ADDRESS(ROW(),COLUMN()-1,4))</f>
        <v>600000</v>
      </c>
      <c r="G1287" s="50"/>
    </row>
    <row r="1288" spans="1:7" x14ac:dyDescent="0.25">
      <c r="A1288" s="50"/>
      <c r="B1288" s="50"/>
      <c r="C1288" s="50"/>
      <c r="D1288" s="50"/>
      <c r="E1288" s="54" t="s">
        <v>49</v>
      </c>
      <c r="F1288" s="49">
        <f ca="1">SUM(Table389[MONTO TOTAL ESTIMADO])</f>
        <v>600000</v>
      </c>
      <c r="G1288" s="50"/>
    </row>
    <row r="1289" spans="1:7" ht="17.25" thickBot="1" x14ac:dyDescent="0.3">
      <c r="A1289" s="30"/>
      <c r="B1289" s="30"/>
      <c r="C1289" s="30"/>
      <c r="D1289" s="30"/>
      <c r="E1289" s="30"/>
      <c r="F1289" s="30"/>
      <c r="G1289" s="30"/>
    </row>
    <row r="1290" spans="1:7" ht="34.5" thickBot="1" x14ac:dyDescent="0.3">
      <c r="A1290" s="31" t="s">
        <v>18</v>
      </c>
      <c r="B1290" s="31" t="s">
        <v>19</v>
      </c>
      <c r="C1290" s="31" t="s">
        <v>20</v>
      </c>
      <c r="D1290" s="31" t="s">
        <v>21</v>
      </c>
      <c r="E1290" s="31" t="s">
        <v>22</v>
      </c>
      <c r="F1290" s="31" t="s">
        <v>23</v>
      </c>
      <c r="G1290" s="50"/>
    </row>
    <row r="1291" spans="1:7" ht="15.75" thickBot="1" x14ac:dyDescent="0.3">
      <c r="A1291" s="33" t="s">
        <v>80</v>
      </c>
      <c r="B1291" s="33" t="s">
        <v>25</v>
      </c>
      <c r="C1291" s="33" t="s">
        <v>26</v>
      </c>
      <c r="D1291" s="33" t="s">
        <v>52</v>
      </c>
      <c r="E1291" s="33" t="s">
        <v>62</v>
      </c>
      <c r="F1291" s="33"/>
      <c r="G1291" s="50"/>
    </row>
    <row r="1292" spans="1:7" ht="15.75" thickBot="1" x14ac:dyDescent="0.3">
      <c r="A1292" s="34" t="s">
        <v>28</v>
      </c>
      <c r="B1292" s="35" t="s">
        <v>29</v>
      </c>
      <c r="C1292" s="51">
        <v>45117</v>
      </c>
      <c r="D1292" s="34" t="s">
        <v>30</v>
      </c>
      <c r="E1292" s="35" t="s">
        <v>31</v>
      </c>
      <c r="F1292" s="33" t="s">
        <v>32</v>
      </c>
      <c r="G1292" s="50"/>
    </row>
    <row r="1293" spans="1:7" ht="15.75" thickBot="1" x14ac:dyDescent="0.3">
      <c r="A1293" s="39"/>
      <c r="B1293" s="35" t="s">
        <v>33</v>
      </c>
      <c r="C1293" s="52">
        <f>IF(C1292="","",IF(AND(MONTH(C1292)&gt;=1,MONTH(C1292)&lt;=3),1,IF(AND(MONTH(C1292)&gt;=4,MONTH(C1292)&lt;=6),2,IF(AND(MONTH(C1292)&gt;=7,MONTH(C1292)&lt;=9),3,4))))</f>
        <v>3</v>
      </c>
      <c r="D1293" s="39"/>
      <c r="E1293" s="35" t="s">
        <v>34</v>
      </c>
      <c r="F1293" s="33" t="s">
        <v>35</v>
      </c>
      <c r="G1293" s="50"/>
    </row>
    <row r="1294" spans="1:7" ht="15.75" thickBot="1" x14ac:dyDescent="0.3">
      <c r="A1294" s="39"/>
      <c r="B1294" s="35" t="s">
        <v>36</v>
      </c>
      <c r="C1294" s="51">
        <v>45126</v>
      </c>
      <c r="D1294" s="39"/>
      <c r="E1294" s="35" t="s">
        <v>37</v>
      </c>
      <c r="F1294" s="33" t="s">
        <v>35</v>
      </c>
      <c r="G1294" s="50"/>
    </row>
    <row r="1295" spans="1:7" ht="15.75" thickBot="1" x14ac:dyDescent="0.3">
      <c r="A1295" s="39"/>
      <c r="B1295" s="35" t="s">
        <v>33</v>
      </c>
      <c r="C1295" s="52">
        <f>IF(C1294="","",IF(AND(MONTH(C1294)&gt;=1,MONTH(C1294)&lt;=3),1,IF(AND(MONTH(C1294)&gt;=4,MONTH(C1294)&lt;=6),2,IF(AND(MONTH(C1294)&gt;=7,MONTH(C1294)&lt;=9),3,4))))</f>
        <v>3</v>
      </c>
      <c r="D1295" s="39"/>
      <c r="E1295" s="35" t="s">
        <v>38</v>
      </c>
      <c r="F1295" s="33" t="s">
        <v>35</v>
      </c>
      <c r="G1295" s="50"/>
    </row>
    <row r="1296" spans="1:7" ht="15.75" thickBot="1" x14ac:dyDescent="0.3">
      <c r="A1296" s="50"/>
      <c r="B1296" s="50"/>
      <c r="C1296" s="50"/>
      <c r="D1296" s="50"/>
      <c r="E1296" s="50"/>
      <c r="F1296" s="50"/>
      <c r="G1296" s="50"/>
    </row>
    <row r="1297" spans="1:7" ht="15.75" thickBot="1" x14ac:dyDescent="0.3">
      <c r="A1297" s="41" t="s">
        <v>39</v>
      </c>
      <c r="B1297" s="41" t="s">
        <v>40</v>
      </c>
      <c r="C1297" s="41" t="s">
        <v>41</v>
      </c>
      <c r="D1297" s="41" t="s">
        <v>42</v>
      </c>
      <c r="E1297" s="41" t="s">
        <v>43</v>
      </c>
      <c r="F1297" s="41" t="s">
        <v>44</v>
      </c>
      <c r="G1297" s="50"/>
    </row>
    <row r="1298" spans="1:7" ht="33.75" x14ac:dyDescent="0.25">
      <c r="A1298" s="42">
        <v>60121104</v>
      </c>
      <c r="B1298" s="43" t="str">
        <f ca="1">IFERROR(INDEX(UNSPSCDes,MATCH(INDIRECT(ADDRESS(ROW(),COLUMN()-1,4)),UNSPSCCode,0)),"")</f>
        <v>Papel bond para para dibujo</v>
      </c>
      <c r="C1298" s="42" t="s">
        <v>45</v>
      </c>
      <c r="D1298" s="42">
        <v>10</v>
      </c>
      <c r="E1298" s="45">
        <v>2237.2800000000002</v>
      </c>
      <c r="F1298" s="46">
        <f ca="1">INDIRECT(ADDRESS(ROW(),COLUMN()-2,4))*INDIRECT(ADDRESS(ROW(),COLUMN()-1,4))</f>
        <v>22372.800000000003</v>
      </c>
      <c r="G1298" s="50"/>
    </row>
    <row r="1299" spans="1:7" x14ac:dyDescent="0.25">
      <c r="A1299" s="50"/>
      <c r="B1299" s="50"/>
      <c r="C1299" s="50"/>
      <c r="D1299" s="50"/>
      <c r="E1299" s="54" t="s">
        <v>49</v>
      </c>
      <c r="F1299" s="49">
        <f ca="1">SUM(Table390[MONTO TOTAL ESTIMADO])</f>
        <v>22372.800000000003</v>
      </c>
      <c r="G1299" s="50"/>
    </row>
    <row r="1300" spans="1:7" ht="17.25" thickBot="1" x14ac:dyDescent="0.3">
      <c r="A1300" s="30"/>
      <c r="B1300" s="30"/>
      <c r="C1300" s="30"/>
      <c r="D1300" s="30"/>
      <c r="E1300" s="30"/>
      <c r="F1300" s="30"/>
      <c r="G1300" s="30"/>
    </row>
    <row r="1301" spans="1:7" ht="34.5" thickBot="1" x14ac:dyDescent="0.3">
      <c r="A1301" s="31" t="s">
        <v>18</v>
      </c>
      <c r="B1301" s="31" t="s">
        <v>19</v>
      </c>
      <c r="C1301" s="31" t="s">
        <v>20</v>
      </c>
      <c r="D1301" s="31" t="s">
        <v>21</v>
      </c>
      <c r="E1301" s="31" t="s">
        <v>22</v>
      </c>
      <c r="F1301" s="31" t="s">
        <v>23</v>
      </c>
      <c r="G1301" s="50"/>
    </row>
    <row r="1302" spans="1:7" ht="15.75" thickBot="1" x14ac:dyDescent="0.3">
      <c r="A1302" s="33" t="s">
        <v>115</v>
      </c>
      <c r="B1302" s="33" t="s">
        <v>116</v>
      </c>
      <c r="C1302" s="62" t="s">
        <v>74</v>
      </c>
      <c r="D1302" s="33" t="s">
        <v>52</v>
      </c>
      <c r="E1302" s="33" t="s">
        <v>56</v>
      </c>
      <c r="F1302" s="33"/>
      <c r="G1302" s="50"/>
    </row>
    <row r="1303" spans="1:7" ht="15.75" thickBot="1" x14ac:dyDescent="0.3">
      <c r="A1303" s="34" t="s">
        <v>28</v>
      </c>
      <c r="B1303" s="35" t="s">
        <v>29</v>
      </c>
      <c r="C1303" s="51">
        <v>45111</v>
      </c>
      <c r="D1303" s="34" t="s">
        <v>30</v>
      </c>
      <c r="E1303" s="35" t="s">
        <v>31</v>
      </c>
      <c r="F1303" s="33" t="s">
        <v>32</v>
      </c>
      <c r="G1303" s="50"/>
    </row>
    <row r="1304" spans="1:7" ht="15.75" thickBot="1" x14ac:dyDescent="0.3">
      <c r="A1304" s="39"/>
      <c r="B1304" s="35" t="s">
        <v>33</v>
      </c>
      <c r="C1304" s="52">
        <f>IF(C1303="","",IF(AND(MONTH(C1303)&gt;=1,MONTH(C1303)&lt;=3),1,IF(AND(MONTH(C1303)&gt;=4,MONTH(C1303)&lt;=6),2,IF(AND(MONTH(C1303)&gt;=7,MONTH(C1303)&lt;=9),3,4))))</f>
        <v>3</v>
      </c>
      <c r="D1304" s="39"/>
      <c r="E1304" s="35" t="s">
        <v>34</v>
      </c>
      <c r="F1304" s="33" t="s">
        <v>35</v>
      </c>
      <c r="G1304" s="50"/>
    </row>
    <row r="1305" spans="1:7" ht="15.75" thickBot="1" x14ac:dyDescent="0.3">
      <c r="A1305" s="39"/>
      <c r="B1305" s="35" t="s">
        <v>36</v>
      </c>
      <c r="C1305" s="51">
        <v>45120</v>
      </c>
      <c r="D1305" s="39"/>
      <c r="E1305" s="35" t="s">
        <v>37</v>
      </c>
      <c r="F1305" s="33" t="s">
        <v>35</v>
      </c>
      <c r="G1305" s="50"/>
    </row>
    <row r="1306" spans="1:7" ht="15.75" thickBot="1" x14ac:dyDescent="0.3">
      <c r="A1306" s="39"/>
      <c r="B1306" s="35" t="s">
        <v>33</v>
      </c>
      <c r="C1306" s="52">
        <f>IF(C1305="","",IF(AND(MONTH(C1305)&gt;=1,MONTH(C1305)&lt;=3),1,IF(AND(MONTH(C1305)&gt;=4,MONTH(C1305)&lt;=6),2,IF(AND(MONTH(C1305)&gt;=7,MONTH(C1305)&lt;=9),3,4))))</f>
        <v>3</v>
      </c>
      <c r="D1306" s="39"/>
      <c r="E1306" s="35" t="s">
        <v>38</v>
      </c>
      <c r="F1306" s="33" t="s">
        <v>35</v>
      </c>
      <c r="G1306" s="50"/>
    </row>
    <row r="1307" spans="1:7" ht="15.75" thickBot="1" x14ac:dyDescent="0.3">
      <c r="A1307" s="50"/>
      <c r="B1307" s="50"/>
      <c r="C1307" s="50"/>
      <c r="D1307" s="50"/>
      <c r="E1307" s="50"/>
      <c r="F1307" s="50"/>
      <c r="G1307" s="50"/>
    </row>
    <row r="1308" spans="1:7" ht="15.75" thickBot="1" x14ac:dyDescent="0.3">
      <c r="A1308" s="41" t="s">
        <v>39</v>
      </c>
      <c r="B1308" s="41" t="s">
        <v>40</v>
      </c>
      <c r="C1308" s="41" t="s">
        <v>41</v>
      </c>
      <c r="D1308" s="41" t="s">
        <v>42</v>
      </c>
      <c r="E1308" s="41" t="s">
        <v>43</v>
      </c>
      <c r="F1308" s="41" t="s">
        <v>44</v>
      </c>
      <c r="G1308" s="50"/>
    </row>
    <row r="1309" spans="1:7" x14ac:dyDescent="0.25">
      <c r="A1309" s="42">
        <v>90111701</v>
      </c>
      <c r="B1309" s="43" t="str">
        <f ca="1">IFERROR(INDEX(UNSPSCDes,MATCH(INDIRECT(ADDRESS(ROW(),COLUMN()-1,4)),UNSPSCCode,0)),"")</f>
        <v>Campin</v>
      </c>
      <c r="C1309" s="42" t="s">
        <v>46</v>
      </c>
      <c r="D1309" s="42">
        <v>8</v>
      </c>
      <c r="E1309" s="45">
        <v>775</v>
      </c>
      <c r="F1309" s="46">
        <f ca="1">INDIRECT(ADDRESS(ROW(),COLUMN()-2,4))*INDIRECT(ADDRESS(ROW(),COLUMN()-1,4))</f>
        <v>6200</v>
      </c>
      <c r="G1309" s="50"/>
    </row>
    <row r="1310" spans="1:7" x14ac:dyDescent="0.25">
      <c r="A1310" s="50"/>
      <c r="B1310" s="50"/>
      <c r="C1310" s="50"/>
      <c r="D1310" s="50"/>
      <c r="E1310" s="54" t="s">
        <v>49</v>
      </c>
      <c r="F1310" s="49">
        <f ca="1">SUM(Table391[MONTO TOTAL ESTIMADO])</f>
        <v>6200</v>
      </c>
      <c r="G1310" s="50"/>
    </row>
    <row r="1311" spans="1:7" ht="17.25" thickBot="1" x14ac:dyDescent="0.3">
      <c r="A1311" s="30"/>
      <c r="B1311" s="30"/>
      <c r="C1311" s="30"/>
      <c r="D1311" s="30"/>
      <c r="E1311" s="30"/>
      <c r="F1311" s="30"/>
      <c r="G1311" s="30"/>
    </row>
    <row r="1312" spans="1:7" ht="34.5" thickBot="1" x14ac:dyDescent="0.3">
      <c r="A1312" s="31" t="s">
        <v>18</v>
      </c>
      <c r="B1312" s="31" t="s">
        <v>19</v>
      </c>
      <c r="C1312" s="31" t="s">
        <v>20</v>
      </c>
      <c r="D1312" s="31" t="s">
        <v>21</v>
      </c>
      <c r="E1312" s="31" t="s">
        <v>22</v>
      </c>
      <c r="F1312" s="31" t="s">
        <v>23</v>
      </c>
      <c r="G1312" s="50"/>
    </row>
    <row r="1313" spans="1:7" ht="15.75" thickBot="1" x14ac:dyDescent="0.3">
      <c r="A1313" s="33" t="s">
        <v>83</v>
      </c>
      <c r="B1313" s="33" t="s">
        <v>84</v>
      </c>
      <c r="C1313" s="33" t="s">
        <v>74</v>
      </c>
      <c r="D1313" s="33" t="s">
        <v>52</v>
      </c>
      <c r="E1313" s="33" t="s">
        <v>53</v>
      </c>
      <c r="F1313" s="33"/>
      <c r="G1313" s="50"/>
    </row>
    <row r="1314" spans="1:7" ht="15.75" thickBot="1" x14ac:dyDescent="0.3">
      <c r="A1314" s="34" t="s">
        <v>28</v>
      </c>
      <c r="B1314" s="35" t="s">
        <v>29</v>
      </c>
      <c r="C1314" s="51">
        <v>45114</v>
      </c>
      <c r="D1314" s="34" t="s">
        <v>30</v>
      </c>
      <c r="E1314" s="35" t="s">
        <v>31</v>
      </c>
      <c r="F1314" s="33" t="s">
        <v>32</v>
      </c>
      <c r="G1314" s="50"/>
    </row>
    <row r="1315" spans="1:7" ht="15.75" thickBot="1" x14ac:dyDescent="0.3">
      <c r="A1315" s="39"/>
      <c r="B1315" s="35" t="s">
        <v>33</v>
      </c>
      <c r="C1315" s="52">
        <f>IF(C1314="","",IF(AND(MONTH(C1314)&gt;=1,MONTH(C1314)&lt;=3),1,IF(AND(MONTH(C1314)&gt;=4,MONTH(C1314)&lt;=6),2,IF(AND(MONTH(C1314)&gt;=7,MONTH(C1314)&lt;=9),3,4))))</f>
        <v>3</v>
      </c>
      <c r="D1315" s="39"/>
      <c r="E1315" s="35" t="s">
        <v>34</v>
      </c>
      <c r="F1315" s="33" t="s">
        <v>35</v>
      </c>
      <c r="G1315" s="50"/>
    </row>
    <row r="1316" spans="1:7" ht="15.75" thickBot="1" x14ac:dyDescent="0.3">
      <c r="A1316" s="39"/>
      <c r="B1316" s="35" t="s">
        <v>36</v>
      </c>
      <c r="C1316" s="51">
        <v>45124</v>
      </c>
      <c r="D1316" s="39"/>
      <c r="E1316" s="35" t="s">
        <v>37</v>
      </c>
      <c r="F1316" s="33" t="s">
        <v>35</v>
      </c>
      <c r="G1316" s="50"/>
    </row>
    <row r="1317" spans="1:7" ht="15.75" thickBot="1" x14ac:dyDescent="0.3">
      <c r="A1317" s="39"/>
      <c r="B1317" s="35" t="s">
        <v>33</v>
      </c>
      <c r="C1317" s="52">
        <f>IF(C1316="","",IF(AND(MONTH(C1316)&gt;=1,MONTH(C1316)&lt;=3),1,IF(AND(MONTH(C1316)&gt;=4,MONTH(C1316)&lt;=6),2,IF(AND(MONTH(C1316)&gt;=7,MONTH(C1316)&lt;=9),3,4))))</f>
        <v>3</v>
      </c>
      <c r="D1317" s="39"/>
      <c r="E1317" s="35" t="s">
        <v>38</v>
      </c>
      <c r="F1317" s="33" t="s">
        <v>35</v>
      </c>
      <c r="G1317" s="50"/>
    </row>
    <row r="1318" spans="1:7" ht="15.75" thickBot="1" x14ac:dyDescent="0.3">
      <c r="A1318" s="50"/>
      <c r="B1318" s="50"/>
      <c r="C1318" s="50"/>
      <c r="D1318" s="50"/>
      <c r="E1318" s="50"/>
      <c r="F1318" s="50"/>
      <c r="G1318" s="50"/>
    </row>
    <row r="1319" spans="1:7" ht="15.75" thickBot="1" x14ac:dyDescent="0.3">
      <c r="A1319" s="41" t="s">
        <v>39</v>
      </c>
      <c r="B1319" s="41" t="s">
        <v>40</v>
      </c>
      <c r="C1319" s="41" t="s">
        <v>41</v>
      </c>
      <c r="D1319" s="41" t="s">
        <v>42</v>
      </c>
      <c r="E1319" s="41" t="s">
        <v>43</v>
      </c>
      <c r="F1319" s="41" t="s">
        <v>44</v>
      </c>
      <c r="G1319" s="50"/>
    </row>
    <row r="1320" spans="1:7" ht="22.5" x14ac:dyDescent="0.25">
      <c r="A1320" s="42">
        <v>82121503</v>
      </c>
      <c r="B1320" s="43" t="str">
        <f ca="1">IFERROR(INDEX(UNSPSCDes,MATCH(INDIRECT(ADDRESS(ROW(),COLUMN()-1,4)),UNSPSCCode,0)),"")</f>
        <v>Impresión digital</v>
      </c>
      <c r="C1320" s="42" t="s">
        <v>46</v>
      </c>
      <c r="D1320" s="42">
        <v>5</v>
      </c>
      <c r="E1320" s="45">
        <v>1200</v>
      </c>
      <c r="F1320" s="46">
        <f ca="1">INDIRECT(ADDRESS(ROW(),COLUMN()-2,4))*INDIRECT(ADDRESS(ROW(),COLUMN()-1,4))</f>
        <v>6000</v>
      </c>
      <c r="G1320" s="50"/>
    </row>
    <row r="1321" spans="1:7" ht="22.5" x14ac:dyDescent="0.25">
      <c r="A1321" s="42">
        <v>82121503</v>
      </c>
      <c r="B1321" s="43" t="str">
        <f ca="1">IFERROR(INDEX(UNSPSCDes,MATCH(INDIRECT(ADDRESS(ROW(),COLUMN()-1,4)),UNSPSCCode,0)),"")</f>
        <v>Impresión digital</v>
      </c>
      <c r="C1321" s="42" t="s">
        <v>46</v>
      </c>
      <c r="D1321" s="42">
        <v>500</v>
      </c>
      <c r="E1321" s="45">
        <v>45</v>
      </c>
      <c r="F1321" s="46">
        <f ca="1">INDIRECT(ADDRESS(ROW(),COLUMN()-2,4))*INDIRECT(ADDRESS(ROW(),COLUMN()-1,4))</f>
        <v>22500</v>
      </c>
      <c r="G1321" s="50"/>
    </row>
    <row r="1322" spans="1:7" ht="33.75" x14ac:dyDescent="0.25">
      <c r="A1322" s="42">
        <v>14111611</v>
      </c>
      <c r="B1322" s="43" t="str">
        <f ca="1">IFERROR(INDEX(UNSPSCDes,MATCH(INDIRECT(ADDRESS(ROW(),COLUMN()-1,4)),UNSPSCCode,0)),"")</f>
        <v>Tarjetas de invitación o de anuncio</v>
      </c>
      <c r="C1322" s="42" t="s">
        <v>46</v>
      </c>
      <c r="D1322" s="42">
        <v>45</v>
      </c>
      <c r="E1322" s="45">
        <v>675</v>
      </c>
      <c r="F1322" s="46">
        <f ca="1">INDIRECT(ADDRESS(ROW(),COLUMN()-2,4))*INDIRECT(ADDRESS(ROW(),COLUMN()-1,4))</f>
        <v>30375</v>
      </c>
      <c r="G1322" s="50"/>
    </row>
    <row r="1323" spans="1:7" ht="45" x14ac:dyDescent="0.25">
      <c r="A1323" s="42">
        <v>73151905</v>
      </c>
      <c r="B1323" s="43" t="str">
        <f ca="1">IFERROR(INDEX(UNSPSCDes,MATCH(INDIRECT(ADDRESS(ROW(),COLUMN()-1,4)),UNSPSCCode,0)),"")</f>
        <v>Servicios de impresión industrial digital</v>
      </c>
      <c r="C1323" s="42" t="s">
        <v>46</v>
      </c>
      <c r="D1323" s="42">
        <v>1</v>
      </c>
      <c r="E1323" s="45">
        <v>30000</v>
      </c>
      <c r="F1323" s="46">
        <f ca="1">INDIRECT(ADDRESS(ROW(),COLUMN()-2,4))*INDIRECT(ADDRESS(ROW(),COLUMN()-1,4))</f>
        <v>30000</v>
      </c>
      <c r="G1323" s="50"/>
    </row>
    <row r="1324" spans="1:7" ht="33.75" x14ac:dyDescent="0.25">
      <c r="A1324" s="42">
        <v>80121704</v>
      </c>
      <c r="B1324" s="43" t="str">
        <f ca="1">IFERROR(INDEX(UNSPSCDes,MATCH(INDIRECT(ADDRESS(ROW(),COLUMN()-1,4)),UNSPSCCode,0)),"")</f>
        <v>Servicios legales sobre contratos</v>
      </c>
      <c r="C1324" s="42" t="s">
        <v>46</v>
      </c>
      <c r="D1324" s="42">
        <v>10</v>
      </c>
      <c r="E1324" s="45">
        <v>5000</v>
      </c>
      <c r="F1324" s="46">
        <f ca="1">INDIRECT(ADDRESS(ROW(),COLUMN()-2,4))*INDIRECT(ADDRESS(ROW(),COLUMN()-1,4))</f>
        <v>50000</v>
      </c>
      <c r="G1324" s="50"/>
    </row>
    <row r="1325" spans="1:7" x14ac:dyDescent="0.25">
      <c r="A1325" s="50"/>
      <c r="B1325" s="50"/>
      <c r="C1325" s="50"/>
      <c r="D1325" s="50"/>
      <c r="E1325" s="54" t="s">
        <v>49</v>
      </c>
      <c r="F1325" s="49">
        <f ca="1">SUM(Table392[MONTO TOTAL ESTIMADO])</f>
        <v>138875</v>
      </c>
      <c r="G1325" s="50"/>
    </row>
    <row r="1326" spans="1:7" ht="17.25" thickBot="1" x14ac:dyDescent="0.3">
      <c r="A1326" s="30"/>
      <c r="B1326" s="30"/>
      <c r="C1326" s="30"/>
      <c r="D1326" s="30"/>
      <c r="E1326" s="30"/>
      <c r="F1326" s="30"/>
      <c r="G1326" s="30"/>
    </row>
    <row r="1327" spans="1:7" ht="34.5" thickBot="1" x14ac:dyDescent="0.3">
      <c r="A1327" s="31" t="s">
        <v>18</v>
      </c>
      <c r="B1327" s="31" t="s">
        <v>19</v>
      </c>
      <c r="C1327" s="31" t="s">
        <v>20</v>
      </c>
      <c r="D1327" s="31" t="s">
        <v>21</v>
      </c>
      <c r="E1327" s="31" t="s">
        <v>22</v>
      </c>
      <c r="F1327" s="31" t="s">
        <v>23</v>
      </c>
      <c r="G1327" s="50"/>
    </row>
    <row r="1328" spans="1:7" ht="15.75" thickBot="1" x14ac:dyDescent="0.3">
      <c r="A1328" s="33" t="s">
        <v>135</v>
      </c>
      <c r="B1328" s="33" t="s">
        <v>133</v>
      </c>
      <c r="C1328" s="33" t="s">
        <v>74</v>
      </c>
      <c r="D1328" s="33" t="s">
        <v>52</v>
      </c>
      <c r="E1328" s="33" t="s">
        <v>53</v>
      </c>
      <c r="F1328" s="33"/>
      <c r="G1328" s="50"/>
    </row>
    <row r="1329" spans="1:7" ht="15.75" thickBot="1" x14ac:dyDescent="0.3">
      <c r="A1329" s="34" t="s">
        <v>28</v>
      </c>
      <c r="B1329" s="35" t="s">
        <v>29</v>
      </c>
      <c r="C1329" s="51">
        <v>45112</v>
      </c>
      <c r="D1329" s="34" t="s">
        <v>30</v>
      </c>
      <c r="E1329" s="35" t="s">
        <v>31</v>
      </c>
      <c r="F1329" s="33" t="s">
        <v>32</v>
      </c>
      <c r="G1329" s="50"/>
    </row>
    <row r="1330" spans="1:7" ht="15.75" thickBot="1" x14ac:dyDescent="0.3">
      <c r="A1330" s="39"/>
      <c r="B1330" s="35" t="s">
        <v>33</v>
      </c>
      <c r="C1330" s="52">
        <f>IF(C1329="","",IF(AND(MONTH(C1329)&gt;=1,MONTH(C1329)&lt;=3),1,IF(AND(MONTH(C1329)&gt;=4,MONTH(C1329)&lt;=6),2,IF(AND(MONTH(C1329)&gt;=7,MONTH(C1329)&lt;=9),3,4))))</f>
        <v>3</v>
      </c>
      <c r="D1330" s="39"/>
      <c r="E1330" s="35" t="s">
        <v>34</v>
      </c>
      <c r="F1330" s="33" t="s">
        <v>35</v>
      </c>
      <c r="G1330" s="50"/>
    </row>
    <row r="1331" spans="1:7" ht="15.75" thickBot="1" x14ac:dyDescent="0.3">
      <c r="A1331" s="39"/>
      <c r="B1331" s="35" t="s">
        <v>36</v>
      </c>
      <c r="C1331" s="51">
        <v>45121</v>
      </c>
      <c r="D1331" s="39"/>
      <c r="E1331" s="35" t="s">
        <v>37</v>
      </c>
      <c r="F1331" s="33" t="s">
        <v>35</v>
      </c>
      <c r="G1331" s="50"/>
    </row>
    <row r="1332" spans="1:7" ht="15.75" thickBot="1" x14ac:dyDescent="0.3">
      <c r="A1332" s="39"/>
      <c r="B1332" s="35" t="s">
        <v>33</v>
      </c>
      <c r="C1332" s="52">
        <f>IF(C1331="","",IF(AND(MONTH(C1331)&gt;=1,MONTH(C1331)&lt;=3),1,IF(AND(MONTH(C1331)&gt;=4,MONTH(C1331)&lt;=6),2,IF(AND(MONTH(C1331)&gt;=7,MONTH(C1331)&lt;=9),3,4))))</f>
        <v>3</v>
      </c>
      <c r="D1332" s="39"/>
      <c r="E1332" s="35" t="s">
        <v>38</v>
      </c>
      <c r="F1332" s="33" t="s">
        <v>35</v>
      </c>
      <c r="G1332" s="50"/>
    </row>
    <row r="1333" spans="1:7" ht="15.75" thickBot="1" x14ac:dyDescent="0.3">
      <c r="A1333" s="50"/>
      <c r="B1333" s="50"/>
      <c r="C1333" s="50"/>
      <c r="D1333" s="50"/>
      <c r="E1333" s="50"/>
      <c r="F1333" s="50"/>
      <c r="G1333" s="50"/>
    </row>
    <row r="1334" spans="1:7" ht="15.75" thickBot="1" x14ac:dyDescent="0.3">
      <c r="A1334" s="41" t="s">
        <v>39</v>
      </c>
      <c r="B1334" s="41" t="s">
        <v>40</v>
      </c>
      <c r="C1334" s="41" t="s">
        <v>41</v>
      </c>
      <c r="D1334" s="41" t="s">
        <v>42</v>
      </c>
      <c r="E1334" s="41" t="s">
        <v>43</v>
      </c>
      <c r="F1334" s="41" t="s">
        <v>44</v>
      </c>
      <c r="G1334" s="50"/>
    </row>
    <row r="1335" spans="1:7" ht="33.75" x14ac:dyDescent="0.25">
      <c r="A1335" s="42">
        <v>72101901</v>
      </c>
      <c r="B1335" s="43" t="str">
        <f ca="1">IFERROR(INDEX(UNSPSCDes,MATCH(INDIRECT(ADDRESS(ROW(),COLUMN()-1,4)),UNSPSCCode,0)),"")</f>
        <v>Diseño o decoración de interiores</v>
      </c>
      <c r="C1335" s="42" t="s">
        <v>46</v>
      </c>
      <c r="D1335" s="42">
        <v>1</v>
      </c>
      <c r="E1335" s="45">
        <v>10000</v>
      </c>
      <c r="F1335" s="46">
        <f ca="1">INDIRECT(ADDRESS(ROW(),COLUMN()-2,4))*INDIRECT(ADDRESS(ROW(),COLUMN()-1,4))</f>
        <v>10000</v>
      </c>
      <c r="G1335" s="50"/>
    </row>
    <row r="1336" spans="1:7" x14ac:dyDescent="0.25">
      <c r="A1336" s="50"/>
      <c r="B1336" s="50"/>
      <c r="C1336" s="50"/>
      <c r="D1336" s="50"/>
      <c r="E1336" s="54" t="s">
        <v>49</v>
      </c>
      <c r="F1336" s="49">
        <f ca="1">SUM(Table393[MONTO TOTAL ESTIMADO])</f>
        <v>10000</v>
      </c>
      <c r="G1336" s="50"/>
    </row>
    <row r="1337" spans="1:7" ht="17.25" thickBot="1" x14ac:dyDescent="0.3">
      <c r="A1337" s="30"/>
      <c r="B1337" s="30"/>
      <c r="C1337" s="30"/>
      <c r="D1337" s="30"/>
      <c r="E1337" s="30"/>
      <c r="F1337" s="30"/>
      <c r="G1337" s="30"/>
    </row>
    <row r="1338" spans="1:7" ht="34.5" thickBot="1" x14ac:dyDescent="0.3">
      <c r="A1338" s="31" t="s">
        <v>18</v>
      </c>
      <c r="B1338" s="31" t="s">
        <v>19</v>
      </c>
      <c r="C1338" s="31" t="s">
        <v>20</v>
      </c>
      <c r="D1338" s="31" t="s">
        <v>21</v>
      </c>
      <c r="E1338" s="31" t="s">
        <v>22</v>
      </c>
      <c r="F1338" s="31" t="s">
        <v>23</v>
      </c>
      <c r="G1338" s="50"/>
    </row>
    <row r="1339" spans="1:7" ht="15.75" thickBot="1" x14ac:dyDescent="0.3">
      <c r="A1339" s="33" t="s">
        <v>136</v>
      </c>
      <c r="B1339" s="33" t="s">
        <v>137</v>
      </c>
      <c r="C1339" s="33" t="s">
        <v>74</v>
      </c>
      <c r="D1339" s="33" t="s">
        <v>52</v>
      </c>
      <c r="E1339" s="33" t="s">
        <v>53</v>
      </c>
      <c r="F1339" s="33"/>
      <c r="G1339" s="50"/>
    </row>
    <row r="1340" spans="1:7" ht="15.75" thickBot="1" x14ac:dyDescent="0.3">
      <c r="A1340" s="34" t="s">
        <v>28</v>
      </c>
      <c r="B1340" s="35" t="s">
        <v>29</v>
      </c>
      <c r="C1340" s="51">
        <v>45113</v>
      </c>
      <c r="D1340" s="34" t="s">
        <v>30</v>
      </c>
      <c r="E1340" s="35" t="s">
        <v>31</v>
      </c>
      <c r="F1340" s="33" t="s">
        <v>32</v>
      </c>
      <c r="G1340" s="50"/>
    </row>
    <row r="1341" spans="1:7" ht="15.75" thickBot="1" x14ac:dyDescent="0.3">
      <c r="A1341" s="39"/>
      <c r="B1341" s="35" t="s">
        <v>33</v>
      </c>
      <c r="C1341" s="52">
        <f>IF(C1340="","",IF(AND(MONTH(C1340)&gt;=1,MONTH(C1340)&lt;=3),1,IF(AND(MONTH(C1340)&gt;=4,MONTH(C1340)&lt;=6),2,IF(AND(MONTH(C1340)&gt;=7,MONTH(C1340)&lt;=9),3,4))))</f>
        <v>3</v>
      </c>
      <c r="D1341" s="39"/>
      <c r="E1341" s="35" t="s">
        <v>34</v>
      </c>
      <c r="F1341" s="33" t="s">
        <v>35</v>
      </c>
      <c r="G1341" s="50"/>
    </row>
    <row r="1342" spans="1:7" ht="15.75" thickBot="1" x14ac:dyDescent="0.3">
      <c r="A1342" s="39"/>
      <c r="B1342" s="35" t="s">
        <v>36</v>
      </c>
      <c r="C1342" s="51">
        <v>45125</v>
      </c>
      <c r="D1342" s="39"/>
      <c r="E1342" s="35" t="s">
        <v>37</v>
      </c>
      <c r="F1342" s="33" t="s">
        <v>35</v>
      </c>
      <c r="G1342" s="50"/>
    </row>
    <row r="1343" spans="1:7" ht="15.75" thickBot="1" x14ac:dyDescent="0.3">
      <c r="A1343" s="39"/>
      <c r="B1343" s="35" t="s">
        <v>33</v>
      </c>
      <c r="C1343" s="52">
        <f>IF(C1342="","",IF(AND(MONTH(C1342)&gt;=1,MONTH(C1342)&lt;=3),1,IF(AND(MONTH(C1342)&gt;=4,MONTH(C1342)&lt;=6),2,IF(AND(MONTH(C1342)&gt;=7,MONTH(C1342)&lt;=9),3,4))))</f>
        <v>3</v>
      </c>
      <c r="D1343" s="39"/>
      <c r="E1343" s="35" t="s">
        <v>38</v>
      </c>
      <c r="F1343" s="33" t="s">
        <v>35</v>
      </c>
      <c r="G1343" s="50"/>
    </row>
    <row r="1344" spans="1:7" ht="15.75" thickBot="1" x14ac:dyDescent="0.3">
      <c r="A1344" s="50"/>
      <c r="B1344" s="50"/>
      <c r="C1344" s="50"/>
      <c r="D1344" s="50"/>
      <c r="E1344" s="50"/>
      <c r="F1344" s="50"/>
      <c r="G1344" s="50"/>
    </row>
    <row r="1345" spans="1:7" ht="15.75" thickBot="1" x14ac:dyDescent="0.3">
      <c r="A1345" s="41" t="s">
        <v>39</v>
      </c>
      <c r="B1345" s="41" t="s">
        <v>40</v>
      </c>
      <c r="C1345" s="41" t="s">
        <v>41</v>
      </c>
      <c r="D1345" s="41" t="s">
        <v>42</v>
      </c>
      <c r="E1345" s="41" t="s">
        <v>43</v>
      </c>
      <c r="F1345" s="41" t="s">
        <v>44</v>
      </c>
      <c r="G1345" s="50"/>
    </row>
    <row r="1346" spans="1:7" ht="22.5" x14ac:dyDescent="0.25">
      <c r="A1346" s="42">
        <v>82151704</v>
      </c>
      <c r="B1346" s="43" t="str">
        <f ca="1">IFERROR(INDEX(UNSPSCDes,MATCH(INDIRECT(ADDRESS(ROW(),COLUMN()-1,4)),UNSPSCCode,0)),"")</f>
        <v>Servicios de músicos</v>
      </c>
      <c r="C1346" s="42" t="s">
        <v>46</v>
      </c>
      <c r="D1346" s="42">
        <v>1</v>
      </c>
      <c r="E1346" s="45">
        <v>15000</v>
      </c>
      <c r="F1346" s="46">
        <f ca="1">INDIRECT(ADDRESS(ROW(),COLUMN()-2,4))*INDIRECT(ADDRESS(ROW(),COLUMN()-1,4))</f>
        <v>15000</v>
      </c>
      <c r="G1346" s="50"/>
    </row>
    <row r="1347" spans="1:7" x14ac:dyDescent="0.25">
      <c r="A1347" s="50"/>
      <c r="B1347" s="50"/>
      <c r="C1347" s="50"/>
      <c r="D1347" s="50"/>
      <c r="E1347" s="54" t="s">
        <v>49</v>
      </c>
      <c r="F1347" s="49">
        <f ca="1">SUM(Table394[MONTO TOTAL ESTIMADO])</f>
        <v>15000</v>
      </c>
      <c r="G1347" s="50"/>
    </row>
    <row r="1348" spans="1:7" ht="17.25" thickBot="1" x14ac:dyDescent="0.3">
      <c r="A1348" s="30"/>
      <c r="B1348" s="30"/>
      <c r="C1348" s="30"/>
      <c r="D1348" s="30"/>
      <c r="E1348" s="30"/>
      <c r="F1348" s="30"/>
      <c r="G1348" s="30"/>
    </row>
    <row r="1349" spans="1:7" ht="34.5" thickBot="1" x14ac:dyDescent="0.3">
      <c r="A1349" s="31" t="s">
        <v>18</v>
      </c>
      <c r="B1349" s="31" t="s">
        <v>19</v>
      </c>
      <c r="C1349" s="31" t="s">
        <v>20</v>
      </c>
      <c r="D1349" s="31" t="s">
        <v>21</v>
      </c>
      <c r="E1349" s="31" t="s">
        <v>22</v>
      </c>
      <c r="F1349" s="31" t="s">
        <v>23</v>
      </c>
      <c r="G1349" s="50"/>
    </row>
    <row r="1350" spans="1:7" ht="15.75" thickBot="1" x14ac:dyDescent="0.3">
      <c r="A1350" s="33" t="s">
        <v>89</v>
      </c>
      <c r="B1350" s="33" t="s">
        <v>90</v>
      </c>
      <c r="C1350" s="33" t="s">
        <v>74</v>
      </c>
      <c r="D1350" s="33" t="s">
        <v>52</v>
      </c>
      <c r="E1350" s="33" t="s">
        <v>53</v>
      </c>
      <c r="F1350" s="33"/>
      <c r="G1350" s="50"/>
    </row>
    <row r="1351" spans="1:7" ht="15.75" thickBot="1" x14ac:dyDescent="0.3">
      <c r="A1351" s="34" t="s">
        <v>28</v>
      </c>
      <c r="B1351" s="35" t="s">
        <v>29</v>
      </c>
      <c r="C1351" s="51">
        <v>45111</v>
      </c>
      <c r="D1351" s="34" t="s">
        <v>30</v>
      </c>
      <c r="E1351" s="35" t="s">
        <v>31</v>
      </c>
      <c r="F1351" s="33" t="s">
        <v>32</v>
      </c>
      <c r="G1351" s="50"/>
    </row>
    <row r="1352" spans="1:7" ht="15.75" thickBot="1" x14ac:dyDescent="0.3">
      <c r="A1352" s="39"/>
      <c r="B1352" s="35" t="s">
        <v>33</v>
      </c>
      <c r="C1352" s="52">
        <f>IF(C1351="","",IF(AND(MONTH(C1351)&gt;=1,MONTH(C1351)&lt;=3),1,IF(AND(MONTH(C1351)&gt;=4,MONTH(C1351)&lt;=6),2,IF(AND(MONTH(C1351)&gt;=7,MONTH(C1351)&lt;=9),3,4))))</f>
        <v>3</v>
      </c>
      <c r="D1352" s="39"/>
      <c r="E1352" s="35" t="s">
        <v>34</v>
      </c>
      <c r="F1352" s="33" t="s">
        <v>35</v>
      </c>
      <c r="G1352" s="50"/>
    </row>
    <row r="1353" spans="1:7" ht="15.75" thickBot="1" x14ac:dyDescent="0.3">
      <c r="A1353" s="39"/>
      <c r="B1353" s="35" t="s">
        <v>36</v>
      </c>
      <c r="C1353" s="51">
        <v>45121</v>
      </c>
      <c r="D1353" s="39"/>
      <c r="E1353" s="35" t="s">
        <v>37</v>
      </c>
      <c r="F1353" s="33" t="s">
        <v>35</v>
      </c>
      <c r="G1353" s="50"/>
    </row>
    <row r="1354" spans="1:7" ht="15.75" thickBot="1" x14ac:dyDescent="0.3">
      <c r="A1354" s="39"/>
      <c r="B1354" s="35" t="s">
        <v>33</v>
      </c>
      <c r="C1354" s="52">
        <f>IF(C1353="","",IF(AND(MONTH(C1353)&gt;=1,MONTH(C1353)&lt;=3),1,IF(AND(MONTH(C1353)&gt;=4,MONTH(C1353)&lt;=6),2,IF(AND(MONTH(C1353)&gt;=7,MONTH(C1353)&lt;=9),3,4))))</f>
        <v>3</v>
      </c>
      <c r="D1354" s="39"/>
      <c r="E1354" s="35" t="s">
        <v>38</v>
      </c>
      <c r="F1354" s="33" t="s">
        <v>35</v>
      </c>
      <c r="G1354" s="50"/>
    </row>
    <row r="1355" spans="1:7" ht="15.75" thickBot="1" x14ac:dyDescent="0.3">
      <c r="A1355" s="50"/>
      <c r="B1355" s="50"/>
      <c r="C1355" s="50"/>
      <c r="D1355" s="50"/>
      <c r="E1355" s="50"/>
      <c r="F1355" s="50"/>
      <c r="G1355" s="50"/>
    </row>
    <row r="1356" spans="1:7" ht="15.75" thickBot="1" x14ac:dyDescent="0.3">
      <c r="A1356" s="41" t="s">
        <v>39</v>
      </c>
      <c r="B1356" s="41" t="s">
        <v>40</v>
      </c>
      <c r="C1356" s="41" t="s">
        <v>41</v>
      </c>
      <c r="D1356" s="41" t="s">
        <v>42</v>
      </c>
      <c r="E1356" s="41" t="s">
        <v>43</v>
      </c>
      <c r="F1356" s="41" t="s">
        <v>44</v>
      </c>
      <c r="G1356" s="50"/>
    </row>
    <row r="1357" spans="1:7" ht="33.75" x14ac:dyDescent="0.25">
      <c r="A1357" s="42">
        <v>50192701</v>
      </c>
      <c r="B1357" s="43" t="str">
        <f ca="1">IFERROR(INDEX(UNSPSCDes,MATCH(INDIRECT(ADDRESS(ROW(),COLUMN()-1,4)),UNSPSCCode,0)),"")</f>
        <v>Comidas combinadas frescas</v>
      </c>
      <c r="C1357" s="42" t="s">
        <v>46</v>
      </c>
      <c r="D1357" s="42">
        <v>370</v>
      </c>
      <c r="E1357" s="45">
        <v>300</v>
      </c>
      <c r="F1357" s="46">
        <f ca="1">INDIRECT(ADDRESS(ROW(),COLUMN()-2,4))*INDIRECT(ADDRESS(ROW(),COLUMN()-1,4))</f>
        <v>111000</v>
      </c>
      <c r="G1357" s="50"/>
    </row>
    <row r="1358" spans="1:7" x14ac:dyDescent="0.25">
      <c r="A1358" s="50"/>
      <c r="B1358" s="50"/>
      <c r="C1358" s="50"/>
      <c r="D1358" s="50"/>
      <c r="E1358" s="54" t="s">
        <v>49</v>
      </c>
      <c r="F1358" s="49">
        <f ca="1">SUM(Table395[MONTO TOTAL ESTIMADO])</f>
        <v>111000</v>
      </c>
      <c r="G1358" s="50"/>
    </row>
    <row r="1359" spans="1:7" ht="17.25" thickBot="1" x14ac:dyDescent="0.3">
      <c r="A1359" s="30"/>
      <c r="B1359" s="30"/>
      <c r="C1359" s="30"/>
      <c r="D1359" s="30"/>
      <c r="E1359" s="30"/>
      <c r="F1359" s="30"/>
      <c r="G1359" s="30"/>
    </row>
    <row r="1360" spans="1:7" ht="34.5" thickBot="1" x14ac:dyDescent="0.3">
      <c r="A1360" s="31" t="s">
        <v>18</v>
      </c>
      <c r="B1360" s="31" t="s">
        <v>19</v>
      </c>
      <c r="C1360" s="31" t="s">
        <v>20</v>
      </c>
      <c r="D1360" s="31" t="s">
        <v>21</v>
      </c>
      <c r="E1360" s="31" t="s">
        <v>22</v>
      </c>
      <c r="F1360" s="31" t="s">
        <v>23</v>
      </c>
      <c r="G1360" s="50"/>
    </row>
    <row r="1361" spans="1:7" ht="15.75" thickBot="1" x14ac:dyDescent="0.3">
      <c r="A1361" s="33" t="s">
        <v>50</v>
      </c>
      <c r="B1361" s="33" t="s">
        <v>95</v>
      </c>
      <c r="C1361" s="33" t="s">
        <v>26</v>
      </c>
      <c r="D1361" s="33" t="s">
        <v>52</v>
      </c>
      <c r="E1361" s="33" t="s">
        <v>62</v>
      </c>
      <c r="F1361" s="33"/>
      <c r="G1361" s="50"/>
    </row>
    <row r="1362" spans="1:7" ht="15.75" thickBot="1" x14ac:dyDescent="0.3">
      <c r="A1362" s="34" t="s">
        <v>28</v>
      </c>
      <c r="B1362" s="35" t="s">
        <v>29</v>
      </c>
      <c r="C1362" s="51">
        <v>45110</v>
      </c>
      <c r="D1362" s="34" t="s">
        <v>30</v>
      </c>
      <c r="E1362" s="35" t="s">
        <v>31</v>
      </c>
      <c r="F1362" s="33" t="s">
        <v>32</v>
      </c>
      <c r="G1362" s="50"/>
    </row>
    <row r="1363" spans="1:7" ht="15.75" thickBot="1" x14ac:dyDescent="0.3">
      <c r="A1363" s="39"/>
      <c r="B1363" s="35" t="s">
        <v>33</v>
      </c>
      <c r="C1363" s="52">
        <f>IF(C1362="","",IF(AND(MONTH(C1362)&gt;=1,MONTH(C1362)&lt;=3),1,IF(AND(MONTH(C1362)&gt;=4,MONTH(C1362)&lt;=6),2,IF(AND(MONTH(C1362)&gt;=7,MONTH(C1362)&lt;=9),3,4))))</f>
        <v>3</v>
      </c>
      <c r="D1363" s="39"/>
      <c r="E1363" s="35" t="s">
        <v>34</v>
      </c>
      <c r="F1363" s="33" t="s">
        <v>35</v>
      </c>
      <c r="G1363" s="50"/>
    </row>
    <row r="1364" spans="1:7" ht="15.75" thickBot="1" x14ac:dyDescent="0.3">
      <c r="A1364" s="39"/>
      <c r="B1364" s="35" t="s">
        <v>36</v>
      </c>
      <c r="C1364" s="51">
        <v>45117</v>
      </c>
      <c r="D1364" s="39"/>
      <c r="E1364" s="35" t="s">
        <v>37</v>
      </c>
      <c r="F1364" s="33" t="s">
        <v>35</v>
      </c>
      <c r="G1364" s="50"/>
    </row>
    <row r="1365" spans="1:7" ht="15.75" thickBot="1" x14ac:dyDescent="0.3">
      <c r="A1365" s="39"/>
      <c r="B1365" s="35" t="s">
        <v>33</v>
      </c>
      <c r="C1365" s="52">
        <f>IF(C1364="","",IF(AND(MONTH(C1364)&gt;=1,MONTH(C1364)&lt;=3),1,IF(AND(MONTH(C1364)&gt;=4,MONTH(C1364)&lt;=6),2,IF(AND(MONTH(C1364)&gt;=7,MONTH(C1364)&lt;=9),3,4))))</f>
        <v>3</v>
      </c>
      <c r="D1365" s="39"/>
      <c r="E1365" s="35" t="s">
        <v>38</v>
      </c>
      <c r="F1365" s="33" t="s">
        <v>35</v>
      </c>
      <c r="G1365" s="50"/>
    </row>
    <row r="1366" spans="1:7" ht="15.75" thickBot="1" x14ac:dyDescent="0.3">
      <c r="A1366" s="50"/>
      <c r="B1366" s="50"/>
      <c r="C1366" s="50"/>
      <c r="D1366" s="50"/>
      <c r="E1366" s="50"/>
      <c r="F1366" s="50"/>
      <c r="G1366" s="50"/>
    </row>
    <row r="1367" spans="1:7" ht="15.75" thickBot="1" x14ac:dyDescent="0.3">
      <c r="A1367" s="41" t="s">
        <v>39</v>
      </c>
      <c r="B1367" s="41" t="s">
        <v>40</v>
      </c>
      <c r="C1367" s="41" t="s">
        <v>41</v>
      </c>
      <c r="D1367" s="41" t="s">
        <v>42</v>
      </c>
      <c r="E1367" s="41" t="s">
        <v>43</v>
      </c>
      <c r="F1367" s="41" t="s">
        <v>44</v>
      </c>
      <c r="G1367" s="50"/>
    </row>
    <row r="1368" spans="1:7" x14ac:dyDescent="0.25">
      <c r="A1368" s="42">
        <v>50201711</v>
      </c>
      <c r="B1368" s="43" t="str">
        <f ca="1">IFERROR(INDEX(UNSPSCDes,MATCH(INDIRECT(ADDRESS(ROW(),COLUMN()-1,4)),UNSPSCCode,0)),"")</f>
        <v>Té instantáneo</v>
      </c>
      <c r="C1368" s="42" t="s">
        <v>46</v>
      </c>
      <c r="D1368" s="42">
        <v>2</v>
      </c>
      <c r="E1368" s="45">
        <v>300</v>
      </c>
      <c r="F1368" s="46">
        <f ca="1">INDIRECT(ADDRESS(ROW(),COLUMN()-2,4))*INDIRECT(ADDRESS(ROW(),COLUMN()-1,4))</f>
        <v>600</v>
      </c>
      <c r="G1368" s="50"/>
    </row>
    <row r="1369" spans="1:7" x14ac:dyDescent="0.25">
      <c r="A1369" s="50"/>
      <c r="B1369" s="50"/>
      <c r="C1369" s="50"/>
      <c r="D1369" s="50"/>
      <c r="E1369" s="54" t="s">
        <v>49</v>
      </c>
      <c r="F1369" s="49">
        <f ca="1">SUM(Table396[MONTO TOTAL ESTIMADO])</f>
        <v>600</v>
      </c>
      <c r="G1369" s="50"/>
    </row>
    <row r="1370" spans="1:7" ht="17.25" thickBot="1" x14ac:dyDescent="0.3">
      <c r="A1370" s="30"/>
      <c r="B1370" s="30"/>
      <c r="C1370" s="30"/>
      <c r="D1370" s="30"/>
      <c r="E1370" s="30"/>
      <c r="F1370" s="30"/>
      <c r="G1370" s="30"/>
    </row>
    <row r="1371" spans="1:7" ht="34.5" thickBot="1" x14ac:dyDescent="0.3">
      <c r="A1371" s="31" t="s">
        <v>18</v>
      </c>
      <c r="B1371" s="31" t="s">
        <v>19</v>
      </c>
      <c r="C1371" s="31" t="s">
        <v>20</v>
      </c>
      <c r="D1371" s="31" t="s">
        <v>21</v>
      </c>
      <c r="E1371" s="31" t="s">
        <v>22</v>
      </c>
      <c r="F1371" s="31" t="s">
        <v>23</v>
      </c>
      <c r="G1371" s="50"/>
    </row>
    <row r="1372" spans="1:7" ht="15.75" thickBot="1" x14ac:dyDescent="0.3">
      <c r="A1372" s="33" t="s">
        <v>96</v>
      </c>
      <c r="B1372" s="33" t="s">
        <v>97</v>
      </c>
      <c r="C1372" s="33" t="s">
        <v>26</v>
      </c>
      <c r="D1372" s="33" t="s">
        <v>52</v>
      </c>
      <c r="E1372" s="33" t="s">
        <v>56</v>
      </c>
      <c r="F1372" s="33"/>
      <c r="G1372" s="50"/>
    </row>
    <row r="1373" spans="1:7" ht="15.75" thickBot="1" x14ac:dyDescent="0.3">
      <c r="A1373" s="34" t="s">
        <v>28</v>
      </c>
      <c r="B1373" s="35" t="s">
        <v>29</v>
      </c>
      <c r="C1373" s="51">
        <v>45110</v>
      </c>
      <c r="D1373" s="34" t="s">
        <v>30</v>
      </c>
      <c r="E1373" s="35" t="s">
        <v>31</v>
      </c>
      <c r="F1373" s="33" t="s">
        <v>32</v>
      </c>
      <c r="G1373" s="50"/>
    </row>
    <row r="1374" spans="1:7" ht="15.75" thickBot="1" x14ac:dyDescent="0.3">
      <c r="A1374" s="39"/>
      <c r="B1374" s="35" t="s">
        <v>33</v>
      </c>
      <c r="C1374" s="52">
        <f>IF(C1373="","",IF(AND(MONTH(C1373)&gt;=1,MONTH(C1373)&lt;=3),1,IF(AND(MONTH(C1373)&gt;=4,MONTH(C1373)&lt;=6),2,IF(AND(MONTH(C1373)&gt;=7,MONTH(C1373)&lt;=9),3,4))))</f>
        <v>3</v>
      </c>
      <c r="D1374" s="39"/>
      <c r="E1374" s="35" t="s">
        <v>34</v>
      </c>
      <c r="F1374" s="33" t="s">
        <v>35</v>
      </c>
      <c r="G1374" s="50"/>
    </row>
    <row r="1375" spans="1:7" ht="15.75" thickBot="1" x14ac:dyDescent="0.3">
      <c r="A1375" s="39"/>
      <c r="B1375" s="35" t="s">
        <v>36</v>
      </c>
      <c r="C1375" s="51">
        <v>45114</v>
      </c>
      <c r="D1375" s="39"/>
      <c r="E1375" s="35" t="s">
        <v>37</v>
      </c>
      <c r="F1375" s="33" t="s">
        <v>35</v>
      </c>
      <c r="G1375" s="50"/>
    </row>
    <row r="1376" spans="1:7" ht="15.75" thickBot="1" x14ac:dyDescent="0.3">
      <c r="A1376" s="39"/>
      <c r="B1376" s="35" t="s">
        <v>33</v>
      </c>
      <c r="C1376" s="52">
        <f>IF(C1375="","",IF(AND(MONTH(C1375)&gt;=1,MONTH(C1375)&lt;=3),1,IF(AND(MONTH(C1375)&gt;=4,MONTH(C1375)&lt;=6),2,IF(AND(MONTH(C1375)&gt;=7,MONTH(C1375)&lt;=9),3,4))))</f>
        <v>3</v>
      </c>
      <c r="D1376" s="39"/>
      <c r="E1376" s="35" t="s">
        <v>38</v>
      </c>
      <c r="F1376" s="33" t="s">
        <v>35</v>
      </c>
      <c r="G1376" s="50"/>
    </row>
    <row r="1377" spans="1:7" ht="15.75" thickBot="1" x14ac:dyDescent="0.3">
      <c r="A1377" s="50"/>
      <c r="B1377" s="50"/>
      <c r="C1377" s="50"/>
      <c r="D1377" s="50"/>
      <c r="E1377" s="50"/>
      <c r="F1377" s="50"/>
      <c r="G1377" s="50"/>
    </row>
    <row r="1378" spans="1:7" ht="15.75" thickBot="1" x14ac:dyDescent="0.3">
      <c r="A1378" s="41" t="s">
        <v>39</v>
      </c>
      <c r="B1378" s="41" t="s">
        <v>40</v>
      </c>
      <c r="C1378" s="41" t="s">
        <v>41</v>
      </c>
      <c r="D1378" s="41" t="s">
        <v>42</v>
      </c>
      <c r="E1378" s="41" t="s">
        <v>43</v>
      </c>
      <c r="F1378" s="41" t="s">
        <v>44</v>
      </c>
      <c r="G1378" s="50"/>
    </row>
    <row r="1379" spans="1:7" ht="22.5" x14ac:dyDescent="0.25">
      <c r="A1379" s="42">
        <v>10161707</v>
      </c>
      <c r="B1379" s="43" t="str">
        <f ca="1">IFERROR(INDEX(UNSPSCDes,MATCH(INDIRECT(ADDRESS(ROW(),COLUMN()-1,4)),UNSPSCCode,0)),"")</f>
        <v>Arreglo de flores cortadas</v>
      </c>
      <c r="C1379" s="42" t="s">
        <v>46</v>
      </c>
      <c r="D1379" s="42">
        <v>1</v>
      </c>
      <c r="E1379" s="45">
        <v>25000</v>
      </c>
      <c r="F1379" s="46">
        <f ca="1">INDIRECT(ADDRESS(ROW(),COLUMN()-2,4))*INDIRECT(ADDRESS(ROW(),COLUMN()-1,4))</f>
        <v>25000</v>
      </c>
      <c r="G1379" s="50"/>
    </row>
    <row r="1380" spans="1:7" x14ac:dyDescent="0.25">
      <c r="A1380" s="50"/>
      <c r="B1380" s="50"/>
      <c r="C1380" s="50"/>
      <c r="D1380" s="50"/>
      <c r="E1380" s="54" t="s">
        <v>49</v>
      </c>
      <c r="F1380" s="49">
        <f ca="1">SUM(Table397[MONTO TOTAL ESTIMADO])</f>
        <v>25000</v>
      </c>
      <c r="G1380" s="50"/>
    </row>
    <row r="1381" spans="1:7" ht="17.25" thickBot="1" x14ac:dyDescent="0.3">
      <c r="A1381" s="30"/>
      <c r="B1381" s="30"/>
      <c r="C1381" s="30"/>
      <c r="D1381" s="30"/>
      <c r="E1381" s="30"/>
      <c r="F1381" s="30"/>
      <c r="G1381" s="30"/>
    </row>
    <row r="1382" spans="1:7" ht="34.5" thickBot="1" x14ac:dyDescent="0.3">
      <c r="A1382" s="31" t="s">
        <v>18</v>
      </c>
      <c r="B1382" s="31" t="s">
        <v>19</v>
      </c>
      <c r="C1382" s="31" t="s">
        <v>20</v>
      </c>
      <c r="D1382" s="31" t="s">
        <v>21</v>
      </c>
      <c r="E1382" s="31" t="s">
        <v>22</v>
      </c>
      <c r="F1382" s="31" t="s">
        <v>23</v>
      </c>
      <c r="G1382" s="50"/>
    </row>
    <row r="1383" spans="1:7" ht="15.75" thickBot="1" x14ac:dyDescent="0.3">
      <c r="A1383" s="33" t="s">
        <v>98</v>
      </c>
      <c r="B1383" s="33" t="s">
        <v>99</v>
      </c>
      <c r="C1383" s="33" t="s">
        <v>26</v>
      </c>
      <c r="D1383" s="33" t="s">
        <v>52</v>
      </c>
      <c r="E1383" s="33" t="s">
        <v>53</v>
      </c>
      <c r="F1383" s="33"/>
      <c r="G1383" s="50"/>
    </row>
    <row r="1384" spans="1:7" ht="15.75" thickBot="1" x14ac:dyDescent="0.3">
      <c r="A1384" s="34" t="s">
        <v>28</v>
      </c>
      <c r="B1384" s="35" t="s">
        <v>29</v>
      </c>
      <c r="C1384" s="51">
        <v>45128</v>
      </c>
      <c r="D1384" s="34" t="s">
        <v>30</v>
      </c>
      <c r="E1384" s="35" t="s">
        <v>31</v>
      </c>
      <c r="F1384" s="33" t="s">
        <v>32</v>
      </c>
      <c r="G1384" s="50"/>
    </row>
    <row r="1385" spans="1:7" ht="15.75" thickBot="1" x14ac:dyDescent="0.3">
      <c r="A1385" s="39"/>
      <c r="B1385" s="35" t="s">
        <v>33</v>
      </c>
      <c r="C1385" s="52">
        <f>IF(C1384="","",IF(AND(MONTH(C1384)&gt;=1,MONTH(C1384)&lt;=3),1,IF(AND(MONTH(C1384)&gt;=4,MONTH(C1384)&lt;=6),2,IF(AND(MONTH(C1384)&gt;=7,MONTH(C1384)&lt;=9),3,4))))</f>
        <v>3</v>
      </c>
      <c r="D1385" s="39"/>
      <c r="E1385" s="35" t="s">
        <v>34</v>
      </c>
      <c r="F1385" s="33" t="s">
        <v>35</v>
      </c>
      <c r="G1385" s="50"/>
    </row>
    <row r="1386" spans="1:7" ht="15.75" thickBot="1" x14ac:dyDescent="0.3">
      <c r="A1386" s="39"/>
      <c r="B1386" s="35" t="s">
        <v>36</v>
      </c>
      <c r="C1386" s="51">
        <v>45135</v>
      </c>
      <c r="D1386" s="39"/>
      <c r="E1386" s="35" t="s">
        <v>37</v>
      </c>
      <c r="F1386" s="33" t="s">
        <v>35</v>
      </c>
      <c r="G1386" s="50"/>
    </row>
    <row r="1387" spans="1:7" ht="15.75" thickBot="1" x14ac:dyDescent="0.3">
      <c r="A1387" s="39"/>
      <c r="B1387" s="35" t="s">
        <v>33</v>
      </c>
      <c r="C1387" s="52">
        <f>IF(C1386="","",IF(AND(MONTH(C1386)&gt;=1,MONTH(C1386)&lt;=3),1,IF(AND(MONTH(C1386)&gt;=4,MONTH(C1386)&lt;=6),2,IF(AND(MONTH(C1386)&gt;=7,MONTH(C1386)&lt;=9),3,4))))</f>
        <v>3</v>
      </c>
      <c r="D1387" s="39"/>
      <c r="E1387" s="35" t="s">
        <v>38</v>
      </c>
      <c r="F1387" s="33" t="s">
        <v>35</v>
      </c>
      <c r="G1387" s="50"/>
    </row>
    <row r="1388" spans="1:7" ht="15.75" thickBot="1" x14ac:dyDescent="0.3">
      <c r="A1388" s="50"/>
      <c r="B1388" s="50"/>
      <c r="C1388" s="50"/>
      <c r="D1388" s="50"/>
      <c r="E1388" s="50"/>
      <c r="F1388" s="50"/>
      <c r="G1388" s="50"/>
    </row>
    <row r="1389" spans="1:7" ht="15.75" thickBot="1" x14ac:dyDescent="0.3">
      <c r="A1389" s="41" t="s">
        <v>39</v>
      </c>
      <c r="B1389" s="41" t="s">
        <v>40</v>
      </c>
      <c r="C1389" s="41" t="s">
        <v>41</v>
      </c>
      <c r="D1389" s="41" t="s">
        <v>42</v>
      </c>
      <c r="E1389" s="41" t="s">
        <v>43</v>
      </c>
      <c r="F1389" s="41" t="s">
        <v>44</v>
      </c>
      <c r="G1389" s="50"/>
    </row>
    <row r="1390" spans="1:7" ht="45" x14ac:dyDescent="0.25">
      <c r="A1390" s="42">
        <v>42181501</v>
      </c>
      <c r="B1390" s="43" t="str">
        <f ca="1">IFERROR(INDEX(UNSPSCDes,MATCH(INDIRECT(ADDRESS(ROW(),COLUMN()-1,4)),UNSPSCCode,0)),"")</f>
        <v>Depresores de lengua o cuchillos o baja lenguas</v>
      </c>
      <c r="C1390" s="42" t="s">
        <v>45</v>
      </c>
      <c r="D1390" s="42">
        <v>1</v>
      </c>
      <c r="E1390" s="45">
        <v>527</v>
      </c>
      <c r="F1390" s="46">
        <f ca="1">INDIRECT(ADDRESS(ROW(),COLUMN()-2,4))*INDIRECT(ADDRESS(ROW(),COLUMN()-1,4))</f>
        <v>527</v>
      </c>
      <c r="G1390" s="50"/>
    </row>
    <row r="1391" spans="1:7" ht="22.5" x14ac:dyDescent="0.25">
      <c r="A1391" s="42">
        <v>42311511</v>
      </c>
      <c r="B1391" s="43" t="str">
        <f ca="1">IFERROR(INDEX(UNSPSCDes,MATCH(INDIRECT(ADDRESS(ROW(),COLUMN()-1,4)),UNSPSCCode,0)),"")</f>
        <v>Vendajes de gasa</v>
      </c>
      <c r="C1391" s="42" t="s">
        <v>46</v>
      </c>
      <c r="D1391" s="42">
        <v>1</v>
      </c>
      <c r="E1391" s="45">
        <v>251</v>
      </c>
      <c r="F1391" s="46">
        <f ca="1">INDIRECT(ADDRESS(ROW(),COLUMN()-2,4))*INDIRECT(ADDRESS(ROW(),COLUMN()-1,4))</f>
        <v>251</v>
      </c>
      <c r="G1391" s="50"/>
    </row>
    <row r="1392" spans="1:7" ht="33.75" x14ac:dyDescent="0.25">
      <c r="A1392" s="42">
        <v>42142603</v>
      </c>
      <c r="B1392" s="43" t="str">
        <f ca="1">IFERROR(INDEX(UNSPSCDes,MATCH(INDIRECT(ADDRESS(ROW(),COLUMN()-1,4)),UNSPSCCode,0)),"")</f>
        <v>Jeringas de cartucho para uso médico</v>
      </c>
      <c r="C1392" s="42" t="s">
        <v>45</v>
      </c>
      <c r="D1392" s="42">
        <v>1</v>
      </c>
      <c r="E1392" s="45">
        <v>282</v>
      </c>
      <c r="F1392" s="46">
        <f ca="1">INDIRECT(ADDRESS(ROW(),COLUMN()-2,4))*INDIRECT(ADDRESS(ROW(),COLUMN()-1,4))</f>
        <v>282</v>
      </c>
      <c r="G1392" s="50"/>
    </row>
    <row r="1393" spans="1:7" x14ac:dyDescent="0.25">
      <c r="A1393" s="50"/>
      <c r="B1393" s="50"/>
      <c r="C1393" s="50"/>
      <c r="D1393" s="50"/>
      <c r="E1393" s="54" t="s">
        <v>49</v>
      </c>
      <c r="F1393" s="49">
        <f ca="1">SUM(Table398[MONTO TOTAL ESTIMADO])</f>
        <v>1060</v>
      </c>
      <c r="G1393" s="50"/>
    </row>
    <row r="1394" spans="1:7" ht="17.25" thickBot="1" x14ac:dyDescent="0.3">
      <c r="A1394" s="30"/>
      <c r="B1394" s="30"/>
      <c r="C1394" s="30"/>
      <c r="D1394" s="30"/>
      <c r="E1394" s="30"/>
      <c r="F1394" s="30"/>
      <c r="G1394" s="30"/>
    </row>
    <row r="1395" spans="1:7" ht="34.5" thickBot="1" x14ac:dyDescent="0.3">
      <c r="A1395" s="31" t="s">
        <v>18</v>
      </c>
      <c r="B1395" s="31" t="s">
        <v>19</v>
      </c>
      <c r="C1395" s="31" t="s">
        <v>20</v>
      </c>
      <c r="D1395" s="31" t="s">
        <v>21</v>
      </c>
      <c r="E1395" s="31" t="s">
        <v>22</v>
      </c>
      <c r="F1395" s="31" t="s">
        <v>23</v>
      </c>
      <c r="G1395" s="50"/>
    </row>
    <row r="1396" spans="1:7" ht="15.75" thickBot="1" x14ac:dyDescent="0.3">
      <c r="A1396" s="33" t="s">
        <v>138</v>
      </c>
      <c r="B1396" s="33" t="s">
        <v>139</v>
      </c>
      <c r="C1396" s="33" t="s">
        <v>74</v>
      </c>
      <c r="D1396" s="33" t="s">
        <v>52</v>
      </c>
      <c r="E1396" s="33" t="s">
        <v>56</v>
      </c>
      <c r="F1396" s="33"/>
      <c r="G1396" s="50"/>
    </row>
    <row r="1397" spans="1:7" ht="15.75" thickBot="1" x14ac:dyDescent="0.3">
      <c r="A1397" s="34" t="s">
        <v>28</v>
      </c>
      <c r="B1397" s="35" t="s">
        <v>29</v>
      </c>
      <c r="C1397" s="51">
        <v>45113</v>
      </c>
      <c r="D1397" s="34" t="s">
        <v>30</v>
      </c>
      <c r="E1397" s="35" t="s">
        <v>31</v>
      </c>
      <c r="F1397" s="33" t="s">
        <v>32</v>
      </c>
      <c r="G1397" s="50"/>
    </row>
    <row r="1398" spans="1:7" ht="15.75" thickBot="1" x14ac:dyDescent="0.3">
      <c r="A1398" s="39"/>
      <c r="B1398" s="35" t="s">
        <v>33</v>
      </c>
      <c r="C1398" s="52">
        <f>IF(C1397="","",IF(AND(MONTH(C1397)&gt;=1,MONTH(C1397)&lt;=3),1,IF(AND(MONTH(C1397)&gt;=4,MONTH(C1397)&lt;=6),2,IF(AND(MONTH(C1397)&gt;=7,MONTH(C1397)&lt;=9),3,4))))</f>
        <v>3</v>
      </c>
      <c r="D1398" s="39"/>
      <c r="E1398" s="35" t="s">
        <v>34</v>
      </c>
      <c r="F1398" s="33" t="s">
        <v>35</v>
      </c>
      <c r="G1398" s="50"/>
    </row>
    <row r="1399" spans="1:7" ht="15.75" thickBot="1" x14ac:dyDescent="0.3">
      <c r="A1399" s="39"/>
      <c r="B1399" s="35" t="s">
        <v>36</v>
      </c>
      <c r="C1399" s="51">
        <v>45120</v>
      </c>
      <c r="D1399" s="39"/>
      <c r="E1399" s="35" t="s">
        <v>37</v>
      </c>
      <c r="F1399" s="33" t="s">
        <v>35</v>
      </c>
      <c r="G1399" s="50"/>
    </row>
    <row r="1400" spans="1:7" ht="15.75" thickBot="1" x14ac:dyDescent="0.3">
      <c r="A1400" s="39"/>
      <c r="B1400" s="35" t="s">
        <v>33</v>
      </c>
      <c r="C1400" s="52">
        <f>IF(C1399="","",IF(AND(MONTH(C1399)&gt;=1,MONTH(C1399)&lt;=3),1,IF(AND(MONTH(C1399)&gt;=4,MONTH(C1399)&lt;=6),2,IF(AND(MONTH(C1399)&gt;=7,MONTH(C1399)&lt;=9),3,4))))</f>
        <v>3</v>
      </c>
      <c r="D1400" s="39"/>
      <c r="E1400" s="35" t="s">
        <v>38</v>
      </c>
      <c r="F1400" s="33" t="s">
        <v>35</v>
      </c>
      <c r="G1400" s="50"/>
    </row>
    <row r="1401" spans="1:7" ht="15.75" thickBot="1" x14ac:dyDescent="0.3">
      <c r="A1401" s="50"/>
      <c r="B1401" s="50"/>
      <c r="C1401" s="50"/>
      <c r="D1401" s="50"/>
      <c r="E1401" s="50"/>
      <c r="F1401" s="50"/>
      <c r="G1401" s="50"/>
    </row>
    <row r="1402" spans="1:7" ht="15.75" thickBot="1" x14ac:dyDescent="0.3">
      <c r="A1402" s="41" t="s">
        <v>39</v>
      </c>
      <c r="B1402" s="41" t="s">
        <v>40</v>
      </c>
      <c r="C1402" s="41" t="s">
        <v>41</v>
      </c>
      <c r="D1402" s="41" t="s">
        <v>42</v>
      </c>
      <c r="E1402" s="41" t="s">
        <v>43</v>
      </c>
      <c r="F1402" s="41" t="s">
        <v>44</v>
      </c>
      <c r="G1402" s="50"/>
    </row>
    <row r="1403" spans="1:7" ht="33.75" x14ac:dyDescent="0.25">
      <c r="A1403" s="42">
        <v>93141701</v>
      </c>
      <c r="B1403" s="43" t="str">
        <f ca="1">IFERROR(INDEX(UNSPSCDes,MATCH(INDIRECT(ADDRESS(ROW(),COLUMN()-1,4)),UNSPSCCode,0)),"")</f>
        <v>Organizaciones de eventos culturales</v>
      </c>
      <c r="C1403" s="42" t="s">
        <v>46</v>
      </c>
      <c r="D1403" s="42">
        <v>1</v>
      </c>
      <c r="E1403" s="45">
        <v>25000</v>
      </c>
      <c r="F1403" s="46">
        <f ca="1">INDIRECT(ADDRESS(ROW(),COLUMN()-2,4))*INDIRECT(ADDRESS(ROW(),COLUMN()-1,4))</f>
        <v>25000</v>
      </c>
      <c r="G1403" s="50"/>
    </row>
    <row r="1404" spans="1:7" x14ac:dyDescent="0.25">
      <c r="A1404" s="50"/>
      <c r="B1404" s="50"/>
      <c r="C1404" s="50"/>
      <c r="D1404" s="50"/>
      <c r="E1404" s="54" t="s">
        <v>49</v>
      </c>
      <c r="F1404" s="49">
        <f ca="1">SUM(Table399[MONTO TOTAL ESTIMADO])</f>
        <v>25000</v>
      </c>
      <c r="G1404" s="50"/>
    </row>
    <row r="1405" spans="1:7" ht="17.25" thickBot="1" x14ac:dyDescent="0.3">
      <c r="A1405" s="30"/>
      <c r="B1405" s="30"/>
      <c r="C1405" s="30"/>
      <c r="D1405" s="30"/>
      <c r="E1405" s="30"/>
      <c r="F1405" s="30"/>
      <c r="G1405" s="30"/>
    </row>
    <row r="1406" spans="1:7" ht="34.5" thickBot="1" x14ac:dyDescent="0.3">
      <c r="A1406" s="31" t="s">
        <v>18</v>
      </c>
      <c r="B1406" s="31" t="s">
        <v>19</v>
      </c>
      <c r="C1406" s="31" t="s">
        <v>20</v>
      </c>
      <c r="D1406" s="31" t="s">
        <v>21</v>
      </c>
      <c r="E1406" s="31" t="s">
        <v>22</v>
      </c>
      <c r="F1406" s="31" t="s">
        <v>23</v>
      </c>
      <c r="G1406" s="50"/>
    </row>
    <row r="1407" spans="1:7" ht="15.75" thickBot="1" x14ac:dyDescent="0.3">
      <c r="A1407" s="33" t="s">
        <v>136</v>
      </c>
      <c r="B1407" s="33" t="s">
        <v>137</v>
      </c>
      <c r="C1407" s="33" t="s">
        <v>74</v>
      </c>
      <c r="D1407" s="33" t="s">
        <v>52</v>
      </c>
      <c r="E1407" s="33" t="s">
        <v>53</v>
      </c>
      <c r="F1407" s="33"/>
      <c r="G1407" s="50"/>
    </row>
    <row r="1408" spans="1:7" ht="15.75" thickBot="1" x14ac:dyDescent="0.3">
      <c r="A1408" s="34" t="s">
        <v>28</v>
      </c>
      <c r="B1408" s="35" t="s">
        <v>29</v>
      </c>
      <c r="C1408" s="51">
        <v>45113</v>
      </c>
      <c r="D1408" s="34" t="s">
        <v>30</v>
      </c>
      <c r="E1408" s="35" t="s">
        <v>31</v>
      </c>
      <c r="F1408" s="33" t="s">
        <v>32</v>
      </c>
      <c r="G1408" s="50"/>
    </row>
    <row r="1409" spans="1:7" ht="15.75" thickBot="1" x14ac:dyDescent="0.3">
      <c r="A1409" s="39"/>
      <c r="B1409" s="35" t="s">
        <v>33</v>
      </c>
      <c r="C1409" s="52">
        <f>IF(C1408="","",IF(AND(MONTH(C1408)&gt;=1,MONTH(C1408)&lt;=3),1,IF(AND(MONTH(C1408)&gt;=4,MONTH(C1408)&lt;=6),2,IF(AND(MONTH(C1408)&gt;=7,MONTH(C1408)&lt;=9),3,4))))</f>
        <v>3</v>
      </c>
      <c r="D1409" s="39"/>
      <c r="E1409" s="35" t="s">
        <v>34</v>
      </c>
      <c r="F1409" s="33" t="s">
        <v>35</v>
      </c>
      <c r="G1409" s="50"/>
    </row>
    <row r="1410" spans="1:7" ht="15.75" thickBot="1" x14ac:dyDescent="0.3">
      <c r="A1410" s="39"/>
      <c r="B1410" s="35" t="s">
        <v>36</v>
      </c>
      <c r="C1410" s="51">
        <v>45120</v>
      </c>
      <c r="D1410" s="39"/>
      <c r="E1410" s="35" t="s">
        <v>37</v>
      </c>
      <c r="F1410" s="33" t="s">
        <v>35</v>
      </c>
      <c r="G1410" s="50"/>
    </row>
    <row r="1411" spans="1:7" ht="15.75" thickBot="1" x14ac:dyDescent="0.3">
      <c r="A1411" s="39"/>
      <c r="B1411" s="35" t="s">
        <v>33</v>
      </c>
      <c r="C1411" s="52">
        <f>IF(C1410="","",IF(AND(MONTH(C1410)&gt;=1,MONTH(C1410)&lt;=3),1,IF(AND(MONTH(C1410)&gt;=4,MONTH(C1410)&lt;=6),2,IF(AND(MONTH(C1410)&gt;=7,MONTH(C1410)&lt;=9),3,4))))</f>
        <v>3</v>
      </c>
      <c r="D1411" s="39"/>
      <c r="E1411" s="35" t="s">
        <v>38</v>
      </c>
      <c r="F1411" s="33" t="s">
        <v>35</v>
      </c>
      <c r="G1411" s="50"/>
    </row>
    <row r="1412" spans="1:7" ht="15.75" thickBot="1" x14ac:dyDescent="0.3">
      <c r="A1412" s="50"/>
      <c r="B1412" s="50"/>
      <c r="C1412" s="50"/>
      <c r="D1412" s="50"/>
      <c r="E1412" s="50"/>
      <c r="F1412" s="50"/>
      <c r="G1412" s="50"/>
    </row>
    <row r="1413" spans="1:7" ht="15.75" thickBot="1" x14ac:dyDescent="0.3">
      <c r="A1413" s="41" t="s">
        <v>39</v>
      </c>
      <c r="B1413" s="41" t="s">
        <v>40</v>
      </c>
      <c r="C1413" s="41" t="s">
        <v>41</v>
      </c>
      <c r="D1413" s="41" t="s">
        <v>42</v>
      </c>
      <c r="E1413" s="41" t="s">
        <v>43</v>
      </c>
      <c r="F1413" s="41" t="s">
        <v>44</v>
      </c>
      <c r="G1413" s="50"/>
    </row>
    <row r="1414" spans="1:7" ht="22.5" x14ac:dyDescent="0.25">
      <c r="A1414" s="42">
        <v>82151704</v>
      </c>
      <c r="B1414" s="43" t="str">
        <f ca="1">IFERROR(INDEX(UNSPSCDes,MATCH(INDIRECT(ADDRESS(ROW(),COLUMN()-1,4)),UNSPSCCode,0)),"")</f>
        <v>Servicios de músicos</v>
      </c>
      <c r="C1414" s="42" t="s">
        <v>46</v>
      </c>
      <c r="D1414" s="42">
        <v>1</v>
      </c>
      <c r="E1414" s="45">
        <v>15000</v>
      </c>
      <c r="F1414" s="46">
        <f ca="1">INDIRECT(ADDRESS(ROW(),COLUMN()-2,4))*INDIRECT(ADDRESS(ROW(),COLUMN()-1,4))</f>
        <v>15000</v>
      </c>
      <c r="G1414" s="50"/>
    </row>
    <row r="1415" spans="1:7" x14ac:dyDescent="0.25">
      <c r="A1415" s="50"/>
      <c r="B1415" s="50"/>
      <c r="C1415" s="50"/>
      <c r="D1415" s="50"/>
      <c r="E1415" s="54" t="s">
        <v>49</v>
      </c>
      <c r="F1415" s="49">
        <f ca="1">SUM(Table3100[MONTO TOTAL ESTIMADO])</f>
        <v>15000</v>
      </c>
      <c r="G1415" s="50"/>
    </row>
    <row r="1416" spans="1:7" ht="17.25" thickBot="1" x14ac:dyDescent="0.3">
      <c r="A1416" s="30"/>
      <c r="B1416" s="30"/>
      <c r="C1416" s="30"/>
      <c r="D1416" s="30"/>
      <c r="E1416" s="30"/>
      <c r="F1416" s="30"/>
      <c r="G1416" s="30"/>
    </row>
    <row r="1417" spans="1:7" ht="34.5" thickBot="1" x14ac:dyDescent="0.3">
      <c r="A1417" s="31" t="s">
        <v>18</v>
      </c>
      <c r="B1417" s="31" t="s">
        <v>19</v>
      </c>
      <c r="C1417" s="31" t="s">
        <v>20</v>
      </c>
      <c r="D1417" s="31" t="s">
        <v>21</v>
      </c>
      <c r="E1417" s="31" t="s">
        <v>22</v>
      </c>
      <c r="F1417" s="31" t="s">
        <v>23</v>
      </c>
      <c r="G1417" s="50"/>
    </row>
    <row r="1418" spans="1:7" ht="15.75" thickBot="1" x14ac:dyDescent="0.3">
      <c r="A1418" s="33" t="s">
        <v>98</v>
      </c>
      <c r="B1418" s="33" t="s">
        <v>99</v>
      </c>
      <c r="C1418" s="33" t="s">
        <v>26</v>
      </c>
      <c r="D1418" s="33" t="s">
        <v>52</v>
      </c>
      <c r="E1418" s="33" t="s">
        <v>56</v>
      </c>
      <c r="F1418" s="33"/>
      <c r="G1418" s="50"/>
    </row>
    <row r="1419" spans="1:7" ht="15.75" thickBot="1" x14ac:dyDescent="0.3">
      <c r="A1419" s="34" t="s">
        <v>28</v>
      </c>
      <c r="B1419" s="35" t="s">
        <v>29</v>
      </c>
      <c r="C1419" s="51">
        <v>45119</v>
      </c>
      <c r="D1419" s="34" t="s">
        <v>30</v>
      </c>
      <c r="E1419" s="35" t="s">
        <v>31</v>
      </c>
      <c r="F1419" s="33" t="s">
        <v>32</v>
      </c>
      <c r="G1419" s="50"/>
    </row>
    <row r="1420" spans="1:7" ht="15.75" thickBot="1" x14ac:dyDescent="0.3">
      <c r="A1420" s="39"/>
      <c r="B1420" s="35" t="s">
        <v>33</v>
      </c>
      <c r="C1420" s="52">
        <f>IF(C1419="","",IF(AND(MONTH(C1419)&gt;=1,MONTH(C1419)&lt;=3),1,IF(AND(MONTH(C1419)&gt;=4,MONTH(C1419)&lt;=6),2,IF(AND(MONTH(C1419)&gt;=7,MONTH(C1419)&lt;=9),3,4))))</f>
        <v>3</v>
      </c>
      <c r="D1420" s="39"/>
      <c r="E1420" s="35" t="s">
        <v>34</v>
      </c>
      <c r="F1420" s="33" t="s">
        <v>35</v>
      </c>
      <c r="G1420" s="50"/>
    </row>
    <row r="1421" spans="1:7" ht="15.75" thickBot="1" x14ac:dyDescent="0.3">
      <c r="A1421" s="39"/>
      <c r="B1421" s="35" t="s">
        <v>36</v>
      </c>
      <c r="C1421" s="51">
        <v>45127</v>
      </c>
      <c r="D1421" s="39"/>
      <c r="E1421" s="35" t="s">
        <v>37</v>
      </c>
      <c r="F1421" s="33" t="s">
        <v>35</v>
      </c>
      <c r="G1421" s="50"/>
    </row>
    <row r="1422" spans="1:7" ht="15.75" thickBot="1" x14ac:dyDescent="0.3">
      <c r="A1422" s="39"/>
      <c r="B1422" s="35" t="s">
        <v>33</v>
      </c>
      <c r="C1422" s="52">
        <f>IF(C1421="","",IF(AND(MONTH(C1421)&gt;=1,MONTH(C1421)&lt;=3),1,IF(AND(MONTH(C1421)&gt;=4,MONTH(C1421)&lt;=6),2,IF(AND(MONTH(C1421)&gt;=7,MONTH(C1421)&lt;=9),3,4))))</f>
        <v>3</v>
      </c>
      <c r="D1422" s="39"/>
      <c r="E1422" s="35" t="s">
        <v>38</v>
      </c>
      <c r="F1422" s="33" t="s">
        <v>35</v>
      </c>
      <c r="G1422" s="50"/>
    </row>
    <row r="1423" spans="1:7" ht="15.75" thickBot="1" x14ac:dyDescent="0.3">
      <c r="A1423" s="50"/>
      <c r="B1423" s="50"/>
      <c r="C1423" s="50"/>
      <c r="D1423" s="50"/>
      <c r="E1423" s="50"/>
      <c r="F1423" s="50"/>
      <c r="G1423" s="50"/>
    </row>
    <row r="1424" spans="1:7" ht="15.75" thickBot="1" x14ac:dyDescent="0.3">
      <c r="A1424" s="41" t="s">
        <v>39</v>
      </c>
      <c r="B1424" s="41" t="s">
        <v>40</v>
      </c>
      <c r="C1424" s="41" t="s">
        <v>41</v>
      </c>
      <c r="D1424" s="41" t="s">
        <v>42</v>
      </c>
      <c r="E1424" s="41" t="s">
        <v>43</v>
      </c>
      <c r="F1424" s="41" t="s">
        <v>44</v>
      </c>
      <c r="G1424" s="50"/>
    </row>
    <row r="1425" spans="1:7" ht="56.25" x14ac:dyDescent="0.25">
      <c r="A1425" s="42">
        <v>42201841</v>
      </c>
      <c r="B1425" s="43" t="str">
        <f ca="1">IFERROR(INDEX(UNSPSCDes,MATCH(INDIRECT(ADDRESS(ROW(),COLUMN()-1,4)),UNSPSCCode,0)),"")</f>
        <v>Papeles de rayos x diagnósticos para uso médico</v>
      </c>
      <c r="C1425" s="42" t="s">
        <v>46</v>
      </c>
      <c r="D1425" s="42">
        <v>1</v>
      </c>
      <c r="E1425" s="45">
        <v>5000</v>
      </c>
      <c r="F1425" s="46">
        <f ca="1">INDIRECT(ADDRESS(ROW(),COLUMN()-2,4))*INDIRECT(ADDRESS(ROW(),COLUMN()-1,4))</f>
        <v>5000</v>
      </c>
      <c r="G1425" s="50"/>
    </row>
    <row r="1426" spans="1:7" x14ac:dyDescent="0.25">
      <c r="A1426" s="50"/>
      <c r="B1426" s="50"/>
      <c r="C1426" s="50"/>
      <c r="D1426" s="50"/>
      <c r="E1426" s="54" t="s">
        <v>49</v>
      </c>
      <c r="F1426" s="49">
        <f ca="1">SUM(Table3101[MONTO TOTAL ESTIMADO])</f>
        <v>5000</v>
      </c>
      <c r="G1426" s="50"/>
    </row>
    <row r="1427" spans="1:7" ht="17.25" thickBot="1" x14ac:dyDescent="0.3">
      <c r="A1427" s="30"/>
      <c r="B1427" s="30"/>
      <c r="C1427" s="30"/>
      <c r="D1427" s="30"/>
      <c r="E1427" s="30"/>
      <c r="F1427" s="30"/>
      <c r="G1427" s="30"/>
    </row>
    <row r="1428" spans="1:7" ht="34.5" thickBot="1" x14ac:dyDescent="0.3">
      <c r="A1428" s="31" t="s">
        <v>18</v>
      </c>
      <c r="B1428" s="31" t="s">
        <v>19</v>
      </c>
      <c r="C1428" s="31" t="s">
        <v>20</v>
      </c>
      <c r="D1428" s="31" t="s">
        <v>21</v>
      </c>
      <c r="E1428" s="31" t="s">
        <v>22</v>
      </c>
      <c r="F1428" s="31" t="s">
        <v>23</v>
      </c>
      <c r="G1428" s="50"/>
    </row>
    <row r="1429" spans="1:7" ht="15.75" thickBot="1" x14ac:dyDescent="0.3">
      <c r="A1429" s="33" t="s">
        <v>105</v>
      </c>
      <c r="B1429" s="33" t="s">
        <v>106</v>
      </c>
      <c r="C1429" s="33" t="s">
        <v>74</v>
      </c>
      <c r="D1429" s="33" t="s">
        <v>27</v>
      </c>
      <c r="E1429" s="33" t="s">
        <v>56</v>
      </c>
      <c r="F1429" s="33"/>
      <c r="G1429" s="50"/>
    </row>
    <row r="1430" spans="1:7" ht="15.75" thickBot="1" x14ac:dyDescent="0.3">
      <c r="A1430" s="34" t="s">
        <v>28</v>
      </c>
      <c r="B1430" s="35" t="s">
        <v>29</v>
      </c>
      <c r="C1430" s="51">
        <v>45117</v>
      </c>
      <c r="D1430" s="34" t="s">
        <v>30</v>
      </c>
      <c r="E1430" s="35" t="s">
        <v>31</v>
      </c>
      <c r="F1430" s="33" t="s">
        <v>32</v>
      </c>
      <c r="G1430" s="50"/>
    </row>
    <row r="1431" spans="1:7" ht="15.75" thickBot="1" x14ac:dyDescent="0.3">
      <c r="A1431" s="39"/>
      <c r="B1431" s="35" t="s">
        <v>33</v>
      </c>
      <c r="C1431" s="52">
        <f>IF(C1430="","",IF(AND(MONTH(C1430)&gt;=1,MONTH(C1430)&lt;=3),1,IF(AND(MONTH(C1430)&gt;=4,MONTH(C1430)&lt;=6),2,IF(AND(MONTH(C1430)&gt;=7,MONTH(C1430)&lt;=9),3,4))))</f>
        <v>3</v>
      </c>
      <c r="D1431" s="39"/>
      <c r="E1431" s="35" t="s">
        <v>34</v>
      </c>
      <c r="F1431" s="33" t="s">
        <v>35</v>
      </c>
      <c r="G1431" s="50"/>
    </row>
    <row r="1432" spans="1:7" ht="15.75" thickBot="1" x14ac:dyDescent="0.3">
      <c r="A1432" s="39"/>
      <c r="B1432" s="35" t="s">
        <v>36</v>
      </c>
      <c r="C1432" s="51">
        <v>45125</v>
      </c>
      <c r="D1432" s="39"/>
      <c r="E1432" s="35" t="s">
        <v>37</v>
      </c>
      <c r="F1432" s="33" t="s">
        <v>35</v>
      </c>
      <c r="G1432" s="50"/>
    </row>
    <row r="1433" spans="1:7" ht="15.75" thickBot="1" x14ac:dyDescent="0.3">
      <c r="A1433" s="39"/>
      <c r="B1433" s="35" t="s">
        <v>33</v>
      </c>
      <c r="C1433" s="52">
        <f>IF(C1432="","",IF(AND(MONTH(C1432)&gt;=1,MONTH(C1432)&lt;=3),1,IF(AND(MONTH(C1432)&gt;=4,MONTH(C1432)&lt;=6),2,IF(AND(MONTH(C1432)&gt;=7,MONTH(C1432)&lt;=9),3,4))))</f>
        <v>3</v>
      </c>
      <c r="D1433" s="39"/>
      <c r="E1433" s="35" t="s">
        <v>38</v>
      </c>
      <c r="F1433" s="33" t="s">
        <v>35</v>
      </c>
      <c r="G1433" s="50"/>
    </row>
    <row r="1434" spans="1:7" ht="15.75" thickBot="1" x14ac:dyDescent="0.3">
      <c r="A1434" s="50"/>
      <c r="B1434" s="50"/>
      <c r="C1434" s="50"/>
      <c r="D1434" s="50"/>
      <c r="E1434" s="50"/>
      <c r="F1434" s="50"/>
      <c r="G1434" s="50"/>
    </row>
    <row r="1435" spans="1:7" ht="15.75" thickBot="1" x14ac:dyDescent="0.3">
      <c r="A1435" s="41" t="s">
        <v>39</v>
      </c>
      <c r="B1435" s="41" t="s">
        <v>40</v>
      </c>
      <c r="C1435" s="41" t="s">
        <v>41</v>
      </c>
      <c r="D1435" s="41" t="s">
        <v>42</v>
      </c>
      <c r="E1435" s="41" t="s">
        <v>43</v>
      </c>
      <c r="F1435" s="41" t="s">
        <v>44</v>
      </c>
      <c r="G1435" s="50"/>
    </row>
    <row r="1436" spans="1:7" ht="22.5" x14ac:dyDescent="0.25">
      <c r="A1436" s="42">
        <v>84111603</v>
      </c>
      <c r="B1436" s="43" t="str">
        <f ca="1">IFERROR(INDEX(UNSPSCDes,MATCH(INDIRECT(ADDRESS(ROW(),COLUMN()-1,4)),UNSPSCCode,0)),"")</f>
        <v>Auditorias internas</v>
      </c>
      <c r="C1436" s="42" t="s">
        <v>46</v>
      </c>
      <c r="D1436" s="42">
        <v>1</v>
      </c>
      <c r="E1436" s="45">
        <v>800000</v>
      </c>
      <c r="F1436" s="46">
        <f ca="1">INDIRECT(ADDRESS(ROW(),COLUMN()-2,4))*INDIRECT(ADDRESS(ROW(),COLUMN()-1,4))</f>
        <v>800000</v>
      </c>
      <c r="G1436" s="50"/>
    </row>
    <row r="1437" spans="1:7" x14ac:dyDescent="0.25">
      <c r="A1437" s="50"/>
      <c r="B1437" s="50"/>
      <c r="C1437" s="50"/>
      <c r="D1437" s="50"/>
      <c r="E1437" s="54" t="s">
        <v>49</v>
      </c>
      <c r="F1437" s="49">
        <f ca="1">SUM(Table3102[MONTO TOTAL ESTIMADO])</f>
        <v>800000</v>
      </c>
      <c r="G1437" s="50"/>
    </row>
    <row r="1438" spans="1:7" ht="17.25" thickBot="1" x14ac:dyDescent="0.3">
      <c r="A1438" s="30"/>
      <c r="B1438" s="30"/>
      <c r="C1438" s="30"/>
      <c r="D1438" s="30"/>
      <c r="E1438" s="30"/>
      <c r="F1438" s="30"/>
      <c r="G1438" s="30"/>
    </row>
    <row r="1439" spans="1:7" ht="34.5" thickBot="1" x14ac:dyDescent="0.3">
      <c r="A1439" s="31" t="s">
        <v>18</v>
      </c>
      <c r="B1439" s="31" t="s">
        <v>19</v>
      </c>
      <c r="C1439" s="31" t="s">
        <v>20</v>
      </c>
      <c r="D1439" s="31" t="s">
        <v>21</v>
      </c>
      <c r="E1439" s="31" t="s">
        <v>22</v>
      </c>
      <c r="F1439" s="31" t="s">
        <v>23</v>
      </c>
      <c r="G1439" s="50"/>
    </row>
    <row r="1440" spans="1:7" ht="15.75" thickBot="1" x14ac:dyDescent="0.3">
      <c r="A1440" s="33" t="s">
        <v>103</v>
      </c>
      <c r="B1440" s="33" t="s">
        <v>104</v>
      </c>
      <c r="C1440" s="33" t="s">
        <v>26</v>
      </c>
      <c r="D1440" s="33" t="s">
        <v>52</v>
      </c>
      <c r="E1440" s="33" t="s">
        <v>62</v>
      </c>
      <c r="F1440" s="33"/>
      <c r="G1440" s="50"/>
    </row>
    <row r="1441" spans="1:7" ht="15.75" thickBot="1" x14ac:dyDescent="0.3">
      <c r="A1441" s="34" t="s">
        <v>28</v>
      </c>
      <c r="B1441" s="35" t="s">
        <v>29</v>
      </c>
      <c r="C1441" s="51">
        <v>45118</v>
      </c>
      <c r="D1441" s="34" t="s">
        <v>30</v>
      </c>
      <c r="E1441" s="35" t="s">
        <v>31</v>
      </c>
      <c r="F1441" s="33" t="s">
        <v>32</v>
      </c>
      <c r="G1441" s="50"/>
    </row>
    <row r="1442" spans="1:7" ht="15.75" thickBot="1" x14ac:dyDescent="0.3">
      <c r="A1442" s="39"/>
      <c r="B1442" s="35" t="s">
        <v>33</v>
      </c>
      <c r="C1442" s="52">
        <f>IF(C1441="","",IF(AND(MONTH(C1441)&gt;=1,MONTH(C1441)&lt;=3),1,IF(AND(MONTH(C1441)&gt;=4,MONTH(C1441)&lt;=6),2,IF(AND(MONTH(C1441)&gt;=7,MONTH(C1441)&lt;=9),3,4))))</f>
        <v>3</v>
      </c>
      <c r="D1442" s="39"/>
      <c r="E1442" s="35" t="s">
        <v>34</v>
      </c>
      <c r="F1442" s="33" t="s">
        <v>35</v>
      </c>
      <c r="G1442" s="50"/>
    </row>
    <row r="1443" spans="1:7" ht="15.75" thickBot="1" x14ac:dyDescent="0.3">
      <c r="A1443" s="39"/>
      <c r="B1443" s="35" t="s">
        <v>36</v>
      </c>
      <c r="C1443" s="51">
        <v>45129</v>
      </c>
      <c r="D1443" s="39"/>
      <c r="E1443" s="35" t="s">
        <v>37</v>
      </c>
      <c r="F1443" s="33" t="s">
        <v>35</v>
      </c>
      <c r="G1443" s="50"/>
    </row>
    <row r="1444" spans="1:7" ht="15.75" thickBot="1" x14ac:dyDescent="0.3">
      <c r="A1444" s="39"/>
      <c r="B1444" s="35" t="s">
        <v>33</v>
      </c>
      <c r="C1444" s="52">
        <f>IF(C1443="","",IF(AND(MONTH(C1443)&gt;=1,MONTH(C1443)&lt;=3),1,IF(AND(MONTH(C1443)&gt;=4,MONTH(C1443)&lt;=6),2,IF(AND(MONTH(C1443)&gt;=7,MONTH(C1443)&lt;=9),3,4))))</f>
        <v>3</v>
      </c>
      <c r="D1444" s="39"/>
      <c r="E1444" s="35" t="s">
        <v>38</v>
      </c>
      <c r="F1444" s="33" t="s">
        <v>35</v>
      </c>
      <c r="G1444" s="50"/>
    </row>
    <row r="1445" spans="1:7" ht="15.75" thickBot="1" x14ac:dyDescent="0.3">
      <c r="A1445" s="50"/>
      <c r="B1445" s="50"/>
      <c r="C1445" s="50"/>
      <c r="D1445" s="50"/>
      <c r="E1445" s="50"/>
      <c r="F1445" s="50"/>
      <c r="G1445" s="50"/>
    </row>
    <row r="1446" spans="1:7" ht="15.75" thickBot="1" x14ac:dyDescent="0.3">
      <c r="A1446" s="41" t="s">
        <v>39</v>
      </c>
      <c r="B1446" s="41" t="s">
        <v>40</v>
      </c>
      <c r="C1446" s="41" t="s">
        <v>41</v>
      </c>
      <c r="D1446" s="41" t="s">
        <v>42</v>
      </c>
      <c r="E1446" s="41" t="s">
        <v>43</v>
      </c>
      <c r="F1446" s="41" t="s">
        <v>44</v>
      </c>
      <c r="G1446" s="50"/>
    </row>
    <row r="1447" spans="1:7" ht="33.75" x14ac:dyDescent="0.25">
      <c r="A1447" s="42">
        <v>55101510</v>
      </c>
      <c r="B1447" s="43" t="str">
        <f ca="1">IFERROR(INDEX(UNSPSCDes,MATCH(INDIRECT(ADDRESS(ROW(),COLUMN()-1,4)),UNSPSCCode,0)),"")</f>
        <v>Libros para entretenimiento</v>
      </c>
      <c r="C1447" s="42" t="s">
        <v>46</v>
      </c>
      <c r="D1447" s="42">
        <v>1</v>
      </c>
      <c r="E1447" s="45">
        <v>1000</v>
      </c>
      <c r="F1447" s="46">
        <f ca="1">INDIRECT(ADDRESS(ROW(),COLUMN()-2,4))*INDIRECT(ADDRESS(ROW(),COLUMN()-1,4))</f>
        <v>1000</v>
      </c>
      <c r="G1447" s="50"/>
    </row>
    <row r="1448" spans="1:7" x14ac:dyDescent="0.25">
      <c r="A1448" s="50"/>
      <c r="B1448" s="50"/>
      <c r="C1448" s="50"/>
      <c r="D1448" s="50"/>
      <c r="E1448" s="54" t="s">
        <v>49</v>
      </c>
      <c r="F1448" s="49">
        <f ca="1">SUM(Table3103[MONTO TOTAL ESTIMADO])</f>
        <v>1000</v>
      </c>
      <c r="G1448" s="50"/>
    </row>
    <row r="1449" spans="1:7" ht="17.25" thickBot="1" x14ac:dyDescent="0.3">
      <c r="A1449" s="30"/>
      <c r="B1449" s="30"/>
      <c r="C1449" s="30"/>
      <c r="D1449" s="30"/>
      <c r="E1449" s="30"/>
      <c r="F1449" s="30"/>
      <c r="G1449" s="30"/>
    </row>
    <row r="1450" spans="1:7" ht="34.5" thickBot="1" x14ac:dyDescent="0.3">
      <c r="A1450" s="31" t="s">
        <v>18</v>
      </c>
      <c r="B1450" s="31" t="s">
        <v>19</v>
      </c>
      <c r="C1450" s="31" t="s">
        <v>20</v>
      </c>
      <c r="D1450" s="31" t="s">
        <v>21</v>
      </c>
      <c r="E1450" s="31" t="s">
        <v>22</v>
      </c>
      <c r="F1450" s="31" t="s">
        <v>23</v>
      </c>
      <c r="G1450" s="50"/>
    </row>
    <row r="1451" spans="1:7" ht="15.75" thickBot="1" x14ac:dyDescent="0.3">
      <c r="A1451" s="33" t="s">
        <v>93</v>
      </c>
      <c r="B1451" s="33" t="s">
        <v>94</v>
      </c>
      <c r="C1451" s="33" t="s">
        <v>26</v>
      </c>
      <c r="D1451" s="33" t="s">
        <v>75</v>
      </c>
      <c r="E1451" s="33" t="s">
        <v>56</v>
      </c>
      <c r="F1451" s="33"/>
      <c r="G1451" s="50"/>
    </row>
    <row r="1452" spans="1:7" ht="15.75" thickBot="1" x14ac:dyDescent="0.3">
      <c r="A1452" s="34" t="s">
        <v>28</v>
      </c>
      <c r="B1452" s="35" t="s">
        <v>29</v>
      </c>
      <c r="C1452" s="51">
        <v>45126</v>
      </c>
      <c r="D1452" s="34" t="s">
        <v>30</v>
      </c>
      <c r="E1452" s="35" t="s">
        <v>31</v>
      </c>
      <c r="F1452" s="33" t="s">
        <v>32</v>
      </c>
      <c r="G1452" s="50"/>
    </row>
    <row r="1453" spans="1:7" ht="15.75" thickBot="1" x14ac:dyDescent="0.3">
      <c r="A1453" s="39"/>
      <c r="B1453" s="35" t="s">
        <v>33</v>
      </c>
      <c r="C1453" s="52">
        <f>IF(C1452="","",IF(AND(MONTH(C1452)&gt;=1,MONTH(C1452)&lt;=3),1,IF(AND(MONTH(C1452)&gt;=4,MONTH(C1452)&lt;=6),2,IF(AND(MONTH(C1452)&gt;=7,MONTH(C1452)&lt;=9),3,4))))</f>
        <v>3</v>
      </c>
      <c r="D1453" s="39"/>
      <c r="E1453" s="35" t="s">
        <v>34</v>
      </c>
      <c r="F1453" s="33" t="s">
        <v>35</v>
      </c>
      <c r="G1453" s="50"/>
    </row>
    <row r="1454" spans="1:7" ht="15.75" thickBot="1" x14ac:dyDescent="0.3">
      <c r="A1454" s="39"/>
      <c r="B1454" s="35" t="s">
        <v>36</v>
      </c>
      <c r="C1454" s="51">
        <v>45135</v>
      </c>
      <c r="D1454" s="39"/>
      <c r="E1454" s="35" t="s">
        <v>37</v>
      </c>
      <c r="F1454" s="33" t="s">
        <v>35</v>
      </c>
      <c r="G1454" s="50"/>
    </row>
    <row r="1455" spans="1:7" ht="15.75" thickBot="1" x14ac:dyDescent="0.3">
      <c r="A1455" s="39"/>
      <c r="B1455" s="35" t="s">
        <v>33</v>
      </c>
      <c r="C1455" s="52">
        <f>IF(C1454="","",IF(AND(MONTH(C1454)&gt;=1,MONTH(C1454)&lt;=3),1,IF(AND(MONTH(C1454)&gt;=4,MONTH(C1454)&lt;=6),2,IF(AND(MONTH(C1454)&gt;=7,MONTH(C1454)&lt;=9),3,4))))</f>
        <v>3</v>
      </c>
      <c r="D1455" s="39"/>
      <c r="E1455" s="35" t="s">
        <v>38</v>
      </c>
      <c r="F1455" s="33" t="s">
        <v>35</v>
      </c>
      <c r="G1455" s="50"/>
    </row>
    <row r="1456" spans="1:7" ht="15.75" thickBot="1" x14ac:dyDescent="0.3">
      <c r="A1456" s="50"/>
      <c r="B1456" s="50"/>
      <c r="C1456" s="50"/>
      <c r="D1456" s="50"/>
      <c r="E1456" s="50"/>
      <c r="F1456" s="50"/>
      <c r="G1456" s="50"/>
    </row>
    <row r="1457" spans="1:7" ht="15.75" thickBot="1" x14ac:dyDescent="0.3">
      <c r="A1457" s="41" t="s">
        <v>39</v>
      </c>
      <c r="B1457" s="41" t="s">
        <v>40</v>
      </c>
      <c r="C1457" s="41" t="s">
        <v>41</v>
      </c>
      <c r="D1457" s="41" t="s">
        <v>42</v>
      </c>
      <c r="E1457" s="41" t="s">
        <v>43</v>
      </c>
      <c r="F1457" s="41" t="s">
        <v>44</v>
      </c>
      <c r="G1457" s="50"/>
    </row>
    <row r="1458" spans="1:7" ht="33.75" x14ac:dyDescent="0.25">
      <c r="A1458" s="42">
        <v>43232101</v>
      </c>
      <c r="B1458" s="43" t="str">
        <f ca="1">IFERROR(INDEX(UNSPSCDes,MATCH(INDIRECT(ADDRESS(ROW(),COLUMN()-1,4)),UNSPSCCode,0)),"")</f>
        <v>Software de diseño de patrones</v>
      </c>
      <c r="C1458" s="42" t="s">
        <v>46</v>
      </c>
      <c r="D1458" s="42">
        <v>3</v>
      </c>
      <c r="E1458" s="45">
        <v>120000</v>
      </c>
      <c r="F1458" s="46">
        <f ca="1">INDIRECT(ADDRESS(ROW(),COLUMN()-2,4))*INDIRECT(ADDRESS(ROW(),COLUMN()-1,4))</f>
        <v>360000</v>
      </c>
      <c r="G1458" s="50"/>
    </row>
    <row r="1459" spans="1:7" ht="33.75" x14ac:dyDescent="0.25">
      <c r="A1459" s="42">
        <v>43232101</v>
      </c>
      <c r="B1459" s="43" t="str">
        <f ca="1">IFERROR(INDEX(UNSPSCDes,MATCH(INDIRECT(ADDRESS(ROW(),COLUMN()-1,4)),UNSPSCCode,0)),"")</f>
        <v>Software de diseño de patrones</v>
      </c>
      <c r="C1459" s="42" t="s">
        <v>46</v>
      </c>
      <c r="D1459" s="42">
        <v>3</v>
      </c>
      <c r="E1459" s="45">
        <v>120000</v>
      </c>
      <c r="F1459" s="46">
        <f ca="1">INDIRECT(ADDRESS(ROW(),COLUMN()-2,4))*INDIRECT(ADDRESS(ROW(),COLUMN()-1,4))</f>
        <v>360000</v>
      </c>
      <c r="G1459" s="50"/>
    </row>
    <row r="1460" spans="1:7" ht="33.75" x14ac:dyDescent="0.25">
      <c r="A1460" s="42">
        <v>43232101</v>
      </c>
      <c r="B1460" s="43" t="str">
        <f ca="1">IFERROR(INDEX(UNSPSCDes,MATCH(INDIRECT(ADDRESS(ROW(),COLUMN()-1,4)),UNSPSCCode,0)),"")</f>
        <v>Software de diseño de patrones</v>
      </c>
      <c r="C1460" s="42" t="s">
        <v>46</v>
      </c>
      <c r="D1460" s="42">
        <v>1</v>
      </c>
      <c r="E1460" s="45">
        <v>1000000</v>
      </c>
      <c r="F1460" s="46">
        <f ca="1">INDIRECT(ADDRESS(ROW(),COLUMN()-2,4))*INDIRECT(ADDRESS(ROW(),COLUMN()-1,4))</f>
        <v>1000000</v>
      </c>
      <c r="G1460" s="50"/>
    </row>
    <row r="1461" spans="1:7" x14ac:dyDescent="0.25">
      <c r="A1461" s="50"/>
      <c r="B1461" s="50"/>
      <c r="C1461" s="50"/>
      <c r="D1461" s="50"/>
      <c r="E1461" s="54" t="s">
        <v>49</v>
      </c>
      <c r="F1461" s="49">
        <f ca="1">SUM(Table3104[MONTO TOTAL ESTIMADO])</f>
        <v>1720000</v>
      </c>
      <c r="G1461" s="50"/>
    </row>
    <row r="1462" spans="1:7" ht="15.75" thickBot="1" x14ac:dyDescent="0.3">
      <c r="A1462" s="63"/>
      <c r="B1462" s="63"/>
      <c r="C1462" s="63"/>
      <c r="D1462" s="63"/>
      <c r="E1462" s="63"/>
      <c r="F1462" s="63"/>
      <c r="G1462" s="63"/>
    </row>
    <row r="1463" spans="1:7" ht="34.5" thickBot="1" x14ac:dyDescent="0.3">
      <c r="A1463" s="31" t="s">
        <v>18</v>
      </c>
      <c r="B1463" s="31" t="s">
        <v>19</v>
      </c>
      <c r="C1463" s="31" t="s">
        <v>20</v>
      </c>
      <c r="D1463" s="31" t="s">
        <v>21</v>
      </c>
      <c r="E1463" s="31" t="s">
        <v>22</v>
      </c>
      <c r="F1463" s="31" t="s">
        <v>23</v>
      </c>
      <c r="G1463" s="50"/>
    </row>
    <row r="1464" spans="1:7" ht="15.75" thickBot="1" x14ac:dyDescent="0.3">
      <c r="A1464" s="33" t="s">
        <v>109</v>
      </c>
      <c r="B1464" s="33" t="s">
        <v>110</v>
      </c>
      <c r="C1464" s="33" t="s">
        <v>26</v>
      </c>
      <c r="D1464" s="33" t="s">
        <v>52</v>
      </c>
      <c r="E1464" s="33" t="s">
        <v>53</v>
      </c>
      <c r="F1464" s="33"/>
      <c r="G1464" s="50"/>
    </row>
    <row r="1465" spans="1:7" ht="15.75" thickBot="1" x14ac:dyDescent="0.3">
      <c r="A1465" s="34" t="s">
        <v>28</v>
      </c>
      <c r="B1465" s="35" t="s">
        <v>29</v>
      </c>
      <c r="C1465" s="51">
        <v>45119</v>
      </c>
      <c r="D1465" s="34" t="s">
        <v>30</v>
      </c>
      <c r="E1465" s="35" t="s">
        <v>31</v>
      </c>
      <c r="F1465" s="33" t="s">
        <v>32</v>
      </c>
      <c r="G1465" s="50"/>
    </row>
    <row r="1466" spans="1:7" ht="15.75" thickBot="1" x14ac:dyDescent="0.3">
      <c r="A1466" s="39"/>
      <c r="B1466" s="35" t="s">
        <v>33</v>
      </c>
      <c r="C1466" s="52">
        <f>IF(C1465="","",IF(AND(MONTH(C1465)&gt;=1,MONTH(C1465)&lt;=3),1,IF(AND(MONTH(C1465)&gt;=4,MONTH(C1465)&lt;=6),2,IF(AND(MONTH(C1465)&gt;=7,MONTH(C1465)&lt;=9),3,4))))</f>
        <v>3</v>
      </c>
      <c r="D1466" s="39"/>
      <c r="E1466" s="35" t="s">
        <v>34</v>
      </c>
      <c r="F1466" s="33" t="s">
        <v>35</v>
      </c>
      <c r="G1466" s="50"/>
    </row>
    <row r="1467" spans="1:7" ht="15.75" thickBot="1" x14ac:dyDescent="0.3">
      <c r="A1467" s="39"/>
      <c r="B1467" s="35" t="s">
        <v>36</v>
      </c>
      <c r="C1467" s="51">
        <v>45129</v>
      </c>
      <c r="D1467" s="39"/>
      <c r="E1467" s="35" t="s">
        <v>37</v>
      </c>
      <c r="F1467" s="33" t="s">
        <v>35</v>
      </c>
      <c r="G1467" s="50"/>
    </row>
    <row r="1468" spans="1:7" ht="15.75" thickBot="1" x14ac:dyDescent="0.3">
      <c r="A1468" s="39"/>
      <c r="B1468" s="35" t="s">
        <v>33</v>
      </c>
      <c r="C1468" s="52">
        <f>IF(C1467="","",IF(AND(MONTH(C1467)&gt;=1,MONTH(C1467)&lt;=3),1,IF(AND(MONTH(C1467)&gt;=4,MONTH(C1467)&lt;=6),2,IF(AND(MONTH(C1467)&gt;=7,MONTH(C1467)&lt;=9),3,4))))</f>
        <v>3</v>
      </c>
      <c r="D1468" s="39"/>
      <c r="E1468" s="35" t="s">
        <v>38</v>
      </c>
      <c r="F1468" s="33" t="s">
        <v>35</v>
      </c>
      <c r="G1468" s="50"/>
    </row>
    <row r="1469" spans="1:7" ht="15.75" thickBot="1" x14ac:dyDescent="0.3">
      <c r="A1469" s="50"/>
      <c r="B1469" s="50"/>
      <c r="C1469" s="50"/>
      <c r="D1469" s="50"/>
      <c r="E1469" s="50"/>
      <c r="F1469" s="50"/>
      <c r="G1469" s="50"/>
    </row>
    <row r="1470" spans="1:7" ht="15.75" thickBot="1" x14ac:dyDescent="0.3">
      <c r="A1470" s="41" t="s">
        <v>39</v>
      </c>
      <c r="B1470" s="41" t="s">
        <v>40</v>
      </c>
      <c r="C1470" s="41" t="s">
        <v>41</v>
      </c>
      <c r="D1470" s="41" t="s">
        <v>42</v>
      </c>
      <c r="E1470" s="41" t="s">
        <v>43</v>
      </c>
      <c r="F1470" s="41" t="s">
        <v>44</v>
      </c>
      <c r="G1470" s="50"/>
    </row>
    <row r="1471" spans="1:7" ht="33.75" x14ac:dyDescent="0.25">
      <c r="A1471" s="42">
        <v>45121506</v>
      </c>
      <c r="B1471" s="43" t="str">
        <f ca="1">IFERROR(INDEX(UNSPSCDes,MATCH(INDIRECT(ADDRESS(ROW(),COLUMN()-1,4)),UNSPSCCode,0)),"")</f>
        <v>Cámaras de video conferencia</v>
      </c>
      <c r="C1471" s="42" t="s">
        <v>46</v>
      </c>
      <c r="D1471" s="42">
        <v>10</v>
      </c>
      <c r="E1471" s="45">
        <v>4500</v>
      </c>
      <c r="F1471" s="46">
        <f ca="1">INDIRECT(ADDRESS(ROW(),COLUMN()-2,4))*INDIRECT(ADDRESS(ROW(),COLUMN()-1,4))</f>
        <v>45000</v>
      </c>
      <c r="G1471" s="50"/>
    </row>
    <row r="1472" spans="1:7" ht="22.5" x14ac:dyDescent="0.25">
      <c r="A1472" s="42">
        <v>43211507</v>
      </c>
      <c r="B1472" s="43" t="str">
        <f ca="1">IFERROR(INDEX(UNSPSCDes,MATCH(INDIRECT(ADDRESS(ROW(),COLUMN()-1,4)),UNSPSCCode,0)),"")</f>
        <v>Computadores de escritorio</v>
      </c>
      <c r="C1472" s="42" t="s">
        <v>46</v>
      </c>
      <c r="D1472" s="42">
        <v>2</v>
      </c>
      <c r="E1472" s="45">
        <v>50000</v>
      </c>
      <c r="F1472" s="46">
        <f ca="1">INDIRECT(ADDRESS(ROW(),COLUMN()-2,4))*INDIRECT(ADDRESS(ROW(),COLUMN()-1,4))</f>
        <v>100000</v>
      </c>
      <c r="G1472" s="50"/>
    </row>
    <row r="1473" spans="1:7" x14ac:dyDescent="0.25">
      <c r="A1473" s="50"/>
      <c r="B1473" s="50"/>
      <c r="C1473" s="50"/>
      <c r="D1473" s="50"/>
      <c r="E1473" s="54" t="s">
        <v>49</v>
      </c>
      <c r="F1473" s="49">
        <f ca="1">SUM(Table3106[MONTO TOTAL ESTIMADO])</f>
        <v>145000</v>
      </c>
      <c r="G1473" s="50"/>
    </row>
    <row r="1474" spans="1:7" ht="15.75" thickBot="1" x14ac:dyDescent="0.3">
      <c r="A1474" s="63"/>
      <c r="B1474" s="63"/>
      <c r="C1474" s="63"/>
      <c r="D1474" s="63"/>
      <c r="E1474" s="63"/>
      <c r="F1474" s="63"/>
      <c r="G1474" s="63"/>
    </row>
    <row r="1475" spans="1:7" ht="34.5" thickBot="1" x14ac:dyDescent="0.3">
      <c r="A1475" s="31" t="s">
        <v>18</v>
      </c>
      <c r="B1475" s="31" t="s">
        <v>19</v>
      </c>
      <c r="C1475" s="31" t="s">
        <v>20</v>
      </c>
      <c r="D1475" s="31" t="s">
        <v>21</v>
      </c>
      <c r="E1475" s="31" t="s">
        <v>22</v>
      </c>
      <c r="F1475" s="31" t="s">
        <v>23</v>
      </c>
      <c r="G1475" s="50"/>
    </row>
    <row r="1476" spans="1:7" ht="15.75" thickBot="1" x14ac:dyDescent="0.3">
      <c r="A1476" s="33" t="s">
        <v>140</v>
      </c>
      <c r="B1476" s="33" t="s">
        <v>141</v>
      </c>
      <c r="C1476" s="33" t="s">
        <v>74</v>
      </c>
      <c r="D1476" s="33" t="s">
        <v>52</v>
      </c>
      <c r="E1476" s="33" t="s">
        <v>53</v>
      </c>
      <c r="F1476" s="33"/>
      <c r="G1476" s="50"/>
    </row>
    <row r="1477" spans="1:7" ht="15.75" thickBot="1" x14ac:dyDescent="0.3">
      <c r="A1477" s="34" t="s">
        <v>28</v>
      </c>
      <c r="B1477" s="35" t="s">
        <v>29</v>
      </c>
      <c r="C1477" s="51">
        <v>45110</v>
      </c>
      <c r="D1477" s="34" t="s">
        <v>30</v>
      </c>
      <c r="E1477" s="35" t="s">
        <v>31</v>
      </c>
      <c r="F1477" s="33" t="s">
        <v>32</v>
      </c>
      <c r="G1477" s="50"/>
    </row>
    <row r="1478" spans="1:7" ht="15.75" thickBot="1" x14ac:dyDescent="0.3">
      <c r="A1478" s="39"/>
      <c r="B1478" s="35" t="s">
        <v>33</v>
      </c>
      <c r="C1478" s="52">
        <f>IF(C1477="","",IF(AND(MONTH(C1477)&gt;=1,MONTH(C1477)&lt;=3),1,IF(AND(MONTH(C1477)&gt;=4,MONTH(C1477)&lt;=6),2,IF(AND(MONTH(C1477)&gt;=7,MONTH(C1477)&lt;=9),3,4))))</f>
        <v>3</v>
      </c>
      <c r="D1478" s="39"/>
      <c r="E1478" s="35" t="s">
        <v>34</v>
      </c>
      <c r="F1478" s="33" t="s">
        <v>35</v>
      </c>
      <c r="G1478" s="50"/>
    </row>
    <row r="1479" spans="1:7" ht="15.75" thickBot="1" x14ac:dyDescent="0.3">
      <c r="A1479" s="39"/>
      <c r="B1479" s="35" t="s">
        <v>36</v>
      </c>
      <c r="C1479" s="51">
        <v>45114</v>
      </c>
      <c r="D1479" s="39"/>
      <c r="E1479" s="35" t="s">
        <v>37</v>
      </c>
      <c r="F1479" s="33" t="s">
        <v>35</v>
      </c>
      <c r="G1479" s="50"/>
    </row>
    <row r="1480" spans="1:7" ht="15.75" thickBot="1" x14ac:dyDescent="0.3">
      <c r="A1480" s="39"/>
      <c r="B1480" s="35" t="s">
        <v>33</v>
      </c>
      <c r="C1480" s="52">
        <f>IF(C1479="","",IF(AND(MONTH(C1479)&gt;=1,MONTH(C1479)&lt;=3),1,IF(AND(MONTH(C1479)&gt;=4,MONTH(C1479)&lt;=6),2,IF(AND(MONTH(C1479)&gt;=7,MONTH(C1479)&lt;=9),3,4))))</f>
        <v>3</v>
      </c>
      <c r="D1480" s="39"/>
      <c r="E1480" s="35" t="s">
        <v>38</v>
      </c>
      <c r="F1480" s="33" t="s">
        <v>35</v>
      </c>
      <c r="G1480" s="50"/>
    </row>
    <row r="1481" spans="1:7" ht="15.75" thickBot="1" x14ac:dyDescent="0.3">
      <c r="A1481" s="50"/>
      <c r="B1481" s="50"/>
      <c r="C1481" s="50"/>
      <c r="D1481" s="50"/>
      <c r="E1481" s="50"/>
      <c r="F1481" s="50"/>
      <c r="G1481" s="50"/>
    </row>
    <row r="1482" spans="1:7" ht="15.75" thickBot="1" x14ac:dyDescent="0.3">
      <c r="A1482" s="41" t="s">
        <v>39</v>
      </c>
      <c r="B1482" s="41" t="s">
        <v>40</v>
      </c>
      <c r="C1482" s="41" t="s">
        <v>41</v>
      </c>
      <c r="D1482" s="41" t="s">
        <v>42</v>
      </c>
      <c r="E1482" s="41" t="s">
        <v>43</v>
      </c>
      <c r="F1482" s="41" t="s">
        <v>44</v>
      </c>
      <c r="G1482" s="50"/>
    </row>
    <row r="1483" spans="1:7" ht="22.5" x14ac:dyDescent="0.25">
      <c r="A1483" s="42">
        <v>31241901</v>
      </c>
      <c r="B1483" s="43" t="str">
        <f ca="1">IFERROR(INDEX(UNSPSCDes,MATCH(INDIRECT(ADDRESS(ROW(),COLUMN()-1,4)),UNSPSCCode,0)),"")</f>
        <v>Bóvedas de especialidad</v>
      </c>
      <c r="C1483" s="42" t="s">
        <v>46</v>
      </c>
      <c r="D1483" s="42">
        <v>1</v>
      </c>
      <c r="E1483" s="45">
        <v>12000</v>
      </c>
      <c r="F1483" s="46">
        <f ca="1">INDIRECT(ADDRESS(ROW(),COLUMN()-2,4))*INDIRECT(ADDRESS(ROW(),COLUMN()-1,4))</f>
        <v>12000</v>
      </c>
      <c r="G1483" s="50"/>
    </row>
    <row r="1484" spans="1:7" x14ac:dyDescent="0.25">
      <c r="A1484" s="50"/>
      <c r="B1484" s="50"/>
      <c r="C1484" s="50"/>
      <c r="D1484" s="50"/>
      <c r="E1484" s="54" t="s">
        <v>49</v>
      </c>
      <c r="F1484" s="49">
        <f ca="1">SUM(Table3107[MONTO TOTAL ESTIMADO])</f>
        <v>12000</v>
      </c>
      <c r="G1484" s="50"/>
    </row>
    <row r="1485" spans="1:7" ht="15.75" thickBot="1" x14ac:dyDescent="0.3">
      <c r="A1485" s="63"/>
      <c r="B1485" s="63"/>
      <c r="C1485" s="63"/>
      <c r="D1485" s="63"/>
      <c r="E1485" s="63"/>
      <c r="F1485" s="63"/>
      <c r="G1485" s="63"/>
    </row>
    <row r="1486" spans="1:7" ht="34.5" thickBot="1" x14ac:dyDescent="0.3">
      <c r="A1486" s="31" t="s">
        <v>18</v>
      </c>
      <c r="B1486" s="31" t="s">
        <v>19</v>
      </c>
      <c r="C1486" s="31" t="s">
        <v>20</v>
      </c>
      <c r="D1486" s="31" t="s">
        <v>21</v>
      </c>
      <c r="E1486" s="31" t="s">
        <v>22</v>
      </c>
      <c r="F1486" s="31" t="s">
        <v>23</v>
      </c>
      <c r="G1486" s="50"/>
    </row>
    <row r="1487" spans="1:7" ht="15.75" thickBot="1" x14ac:dyDescent="0.3">
      <c r="A1487" s="33" t="s">
        <v>80</v>
      </c>
      <c r="B1487" s="33" t="s">
        <v>25</v>
      </c>
      <c r="C1487" s="33" t="s">
        <v>26</v>
      </c>
      <c r="D1487" s="33" t="s">
        <v>52</v>
      </c>
      <c r="E1487" s="33" t="s">
        <v>53</v>
      </c>
      <c r="F1487" s="33"/>
      <c r="G1487" s="50"/>
    </row>
    <row r="1488" spans="1:7" ht="15.75" thickBot="1" x14ac:dyDescent="0.3">
      <c r="A1488" s="34" t="s">
        <v>28</v>
      </c>
      <c r="B1488" s="35" t="s">
        <v>29</v>
      </c>
      <c r="C1488" s="51">
        <v>45140</v>
      </c>
      <c r="D1488" s="34" t="s">
        <v>30</v>
      </c>
      <c r="E1488" s="35" t="s">
        <v>31</v>
      </c>
      <c r="F1488" s="33" t="s">
        <v>32</v>
      </c>
      <c r="G1488" s="50"/>
    </row>
    <row r="1489" spans="1:7" ht="15.75" thickBot="1" x14ac:dyDescent="0.3">
      <c r="A1489" s="39"/>
      <c r="B1489" s="35" t="s">
        <v>33</v>
      </c>
      <c r="C1489" s="52">
        <f>IF(C1488="","",IF(AND(MONTH(C1488)&gt;=1,MONTH(C1488)&lt;=3),1,IF(AND(MONTH(C1488)&gt;=4,MONTH(C1488)&lt;=6),2,IF(AND(MONTH(C1488)&gt;=7,MONTH(C1488)&lt;=9),3,4))))</f>
        <v>3</v>
      </c>
      <c r="D1489" s="39"/>
      <c r="E1489" s="35" t="s">
        <v>34</v>
      </c>
      <c r="F1489" s="33" t="s">
        <v>35</v>
      </c>
      <c r="G1489" s="50"/>
    </row>
    <row r="1490" spans="1:7" ht="15.75" thickBot="1" x14ac:dyDescent="0.3">
      <c r="A1490" s="39"/>
      <c r="B1490" s="35" t="s">
        <v>36</v>
      </c>
      <c r="C1490" s="51">
        <v>45147</v>
      </c>
      <c r="D1490" s="39"/>
      <c r="E1490" s="35" t="s">
        <v>37</v>
      </c>
      <c r="F1490" s="33" t="s">
        <v>35</v>
      </c>
      <c r="G1490" s="50"/>
    </row>
    <row r="1491" spans="1:7" ht="15.75" thickBot="1" x14ac:dyDescent="0.3">
      <c r="A1491" s="39"/>
      <c r="B1491" s="35" t="s">
        <v>33</v>
      </c>
      <c r="C1491" s="52">
        <f>IF(C1490="","",IF(AND(MONTH(C1490)&gt;=1,MONTH(C1490)&lt;=3),1,IF(AND(MONTH(C1490)&gt;=4,MONTH(C1490)&lt;=6),2,IF(AND(MONTH(C1490)&gt;=7,MONTH(C1490)&lt;=9),3,4))))</f>
        <v>3</v>
      </c>
      <c r="D1491" s="39"/>
      <c r="E1491" s="35" t="s">
        <v>38</v>
      </c>
      <c r="F1491" s="33" t="s">
        <v>35</v>
      </c>
      <c r="G1491" s="50"/>
    </row>
    <row r="1492" spans="1:7" ht="15.75" thickBot="1" x14ac:dyDescent="0.3">
      <c r="A1492" s="50"/>
      <c r="B1492" s="50"/>
      <c r="C1492" s="50"/>
      <c r="D1492" s="50"/>
      <c r="E1492" s="50"/>
      <c r="F1492" s="50"/>
      <c r="G1492" s="50"/>
    </row>
    <row r="1493" spans="1:7" ht="15.75" thickBot="1" x14ac:dyDescent="0.3">
      <c r="A1493" s="41" t="s">
        <v>39</v>
      </c>
      <c r="B1493" s="41" t="s">
        <v>40</v>
      </c>
      <c r="C1493" s="41" t="s">
        <v>41</v>
      </c>
      <c r="D1493" s="41" t="s">
        <v>42</v>
      </c>
      <c r="E1493" s="41" t="s">
        <v>43</v>
      </c>
      <c r="F1493" s="41" t="s">
        <v>44</v>
      </c>
      <c r="G1493" s="50"/>
    </row>
    <row r="1494" spans="1:7" ht="33.75" x14ac:dyDescent="0.25">
      <c r="A1494" s="42">
        <v>60121104</v>
      </c>
      <c r="B1494" s="43" t="str">
        <f ca="1">IFERROR(INDEX(UNSPSCDes,MATCH(INDIRECT(ADDRESS(ROW(),COLUMN()-1,4)),UNSPSCCode,0)),"")</f>
        <v>Papel bond para para dibujo</v>
      </c>
      <c r="C1494" s="42" t="s">
        <v>46</v>
      </c>
      <c r="D1494" s="42">
        <v>12</v>
      </c>
      <c r="E1494" s="45">
        <v>55</v>
      </c>
      <c r="F1494" s="46">
        <f ca="1">INDIRECT(ADDRESS(ROW(),COLUMN()-2,4))*INDIRECT(ADDRESS(ROW(),COLUMN()-1,4))</f>
        <v>660</v>
      </c>
      <c r="G1494" s="50"/>
    </row>
    <row r="1495" spans="1:7" ht="33.75" x14ac:dyDescent="0.25">
      <c r="A1495" s="42">
        <v>60121104</v>
      </c>
      <c r="B1495" s="43" t="str">
        <f ca="1">IFERROR(INDEX(UNSPSCDes,MATCH(INDIRECT(ADDRESS(ROW(),COLUMN()-1,4)),UNSPSCCode,0)),"")</f>
        <v>Papel bond para para dibujo</v>
      </c>
      <c r="C1495" s="42" t="s">
        <v>45</v>
      </c>
      <c r="D1495" s="42">
        <v>10</v>
      </c>
      <c r="E1495" s="45">
        <v>2237.2800000000002</v>
      </c>
      <c r="F1495" s="46">
        <f ca="1">INDIRECT(ADDRESS(ROW(),COLUMN()-2,4))*INDIRECT(ADDRESS(ROW(),COLUMN()-1,4))</f>
        <v>22372.800000000003</v>
      </c>
      <c r="G1495" s="50"/>
    </row>
    <row r="1496" spans="1:7" ht="22.5" x14ac:dyDescent="0.25">
      <c r="A1496" s="42">
        <v>44103105</v>
      </c>
      <c r="B1496" s="43" t="str">
        <f ca="1">IFERROR(INDEX(UNSPSCDes,MATCH(INDIRECT(ADDRESS(ROW(),COLUMN()-1,4)),UNSPSCCode,0)),"")</f>
        <v>Cartuchos de tinta</v>
      </c>
      <c r="C1496" s="42" t="s">
        <v>46</v>
      </c>
      <c r="D1496" s="42">
        <v>30</v>
      </c>
      <c r="E1496" s="45">
        <v>2500</v>
      </c>
      <c r="F1496" s="46">
        <f ca="1">INDIRECT(ADDRESS(ROW(),COLUMN()-2,4))*INDIRECT(ADDRESS(ROW(),COLUMN()-1,4))</f>
        <v>75000</v>
      </c>
      <c r="G1496" s="50"/>
    </row>
    <row r="1497" spans="1:7" ht="22.5" x14ac:dyDescent="0.25">
      <c r="A1497" s="42">
        <v>14111815</v>
      </c>
      <c r="B1497" s="43" t="str">
        <f ca="1">IFERROR(INDEX(UNSPSCDes,MATCH(INDIRECT(ADDRESS(ROW(),COLUMN()-1,4)),UNSPSCCode,0)),"")</f>
        <v>Tarjetas de identificación</v>
      </c>
      <c r="C1497" s="42" t="s">
        <v>46</v>
      </c>
      <c r="D1497" s="42">
        <v>500</v>
      </c>
      <c r="E1497" s="45">
        <v>55</v>
      </c>
      <c r="F1497" s="46">
        <f ca="1">INDIRECT(ADDRESS(ROW(),COLUMN()-2,4))*INDIRECT(ADDRESS(ROW(),COLUMN()-1,4))</f>
        <v>27500</v>
      </c>
      <c r="G1497" s="50"/>
    </row>
    <row r="1498" spans="1:7" x14ac:dyDescent="0.25">
      <c r="A1498" s="50"/>
      <c r="B1498" s="50"/>
      <c r="C1498" s="50"/>
      <c r="D1498" s="50"/>
      <c r="E1498" s="54" t="s">
        <v>49</v>
      </c>
      <c r="F1498" s="49">
        <f ca="1">SUM(Table3108[MONTO TOTAL ESTIMADO])</f>
        <v>125532.8</v>
      </c>
      <c r="G1498" s="50"/>
    </row>
    <row r="1499" spans="1:7" ht="15.75" thickBot="1" x14ac:dyDescent="0.3">
      <c r="A1499" s="63"/>
      <c r="B1499" s="63"/>
      <c r="C1499" s="63"/>
      <c r="D1499" s="63"/>
      <c r="E1499" s="63"/>
      <c r="F1499" s="63"/>
      <c r="G1499" s="63"/>
    </row>
    <row r="1500" spans="1:7" ht="34.5" thickBot="1" x14ac:dyDescent="0.3">
      <c r="A1500" s="31" t="s">
        <v>18</v>
      </c>
      <c r="B1500" s="31" t="s">
        <v>19</v>
      </c>
      <c r="C1500" s="31" t="s">
        <v>20</v>
      </c>
      <c r="D1500" s="31" t="s">
        <v>21</v>
      </c>
      <c r="E1500" s="31" t="s">
        <v>22</v>
      </c>
      <c r="F1500" s="31" t="s">
        <v>23</v>
      </c>
      <c r="G1500" s="50"/>
    </row>
    <row r="1501" spans="1:7" ht="15.75" thickBot="1" x14ac:dyDescent="0.3">
      <c r="A1501" s="33" t="s">
        <v>73</v>
      </c>
      <c r="B1501" s="33" t="s">
        <v>73</v>
      </c>
      <c r="C1501" s="33" t="s">
        <v>74</v>
      </c>
      <c r="D1501" s="33" t="s">
        <v>27</v>
      </c>
      <c r="E1501" s="33" t="s">
        <v>56</v>
      </c>
      <c r="F1501" s="33"/>
      <c r="G1501" s="50"/>
    </row>
    <row r="1502" spans="1:7" ht="15.75" thickBot="1" x14ac:dyDescent="0.3">
      <c r="A1502" s="34" t="s">
        <v>28</v>
      </c>
      <c r="B1502" s="35" t="s">
        <v>29</v>
      </c>
      <c r="C1502" s="51">
        <v>45145</v>
      </c>
      <c r="D1502" s="34" t="s">
        <v>30</v>
      </c>
      <c r="E1502" s="35" t="s">
        <v>31</v>
      </c>
      <c r="F1502" s="33" t="s">
        <v>32</v>
      </c>
      <c r="G1502" s="50"/>
    </row>
    <row r="1503" spans="1:7" ht="15.75" thickBot="1" x14ac:dyDescent="0.3">
      <c r="A1503" s="39"/>
      <c r="B1503" s="35" t="s">
        <v>33</v>
      </c>
      <c r="C1503" s="52">
        <f>IF(C1502="","",IF(AND(MONTH(C1502)&gt;=1,MONTH(C1502)&lt;=3),1,IF(AND(MONTH(C1502)&gt;=4,MONTH(C1502)&lt;=6),2,IF(AND(MONTH(C1502)&gt;=7,MONTH(C1502)&lt;=9),3,4))))</f>
        <v>3</v>
      </c>
      <c r="D1503" s="39"/>
      <c r="E1503" s="35" t="s">
        <v>34</v>
      </c>
      <c r="F1503" s="33" t="s">
        <v>35</v>
      </c>
      <c r="G1503" s="50"/>
    </row>
    <row r="1504" spans="1:7" ht="15.75" thickBot="1" x14ac:dyDescent="0.3">
      <c r="A1504" s="39"/>
      <c r="B1504" s="35" t="s">
        <v>36</v>
      </c>
      <c r="C1504" s="51">
        <v>45154</v>
      </c>
      <c r="D1504" s="39"/>
      <c r="E1504" s="35" t="s">
        <v>37</v>
      </c>
      <c r="F1504" s="33" t="s">
        <v>35</v>
      </c>
      <c r="G1504" s="50"/>
    </row>
    <row r="1505" spans="1:7" ht="15.75" thickBot="1" x14ac:dyDescent="0.3">
      <c r="A1505" s="39"/>
      <c r="B1505" s="35" t="s">
        <v>33</v>
      </c>
      <c r="C1505" s="52">
        <f>IF(C1504="","",IF(AND(MONTH(C1504)&gt;=1,MONTH(C1504)&lt;=3),1,IF(AND(MONTH(C1504)&gt;=4,MONTH(C1504)&lt;=6),2,IF(AND(MONTH(C1504)&gt;=7,MONTH(C1504)&lt;=9),3,4))))</f>
        <v>3</v>
      </c>
      <c r="D1505" s="39"/>
      <c r="E1505" s="35" t="s">
        <v>38</v>
      </c>
      <c r="F1505" s="33" t="s">
        <v>35</v>
      </c>
      <c r="G1505" s="50"/>
    </row>
    <row r="1506" spans="1:7" ht="15.75" thickBot="1" x14ac:dyDescent="0.3">
      <c r="A1506" s="50"/>
      <c r="B1506" s="50"/>
      <c r="C1506" s="50"/>
      <c r="D1506" s="50"/>
      <c r="E1506" s="50"/>
      <c r="F1506" s="50"/>
      <c r="G1506" s="50"/>
    </row>
    <row r="1507" spans="1:7" ht="15.75" thickBot="1" x14ac:dyDescent="0.3">
      <c r="A1507" s="41" t="s">
        <v>39</v>
      </c>
      <c r="B1507" s="41" t="s">
        <v>40</v>
      </c>
      <c r="C1507" s="41" t="s">
        <v>41</v>
      </c>
      <c r="D1507" s="41" t="s">
        <v>42</v>
      </c>
      <c r="E1507" s="41" t="s">
        <v>43</v>
      </c>
      <c r="F1507" s="41" t="s">
        <v>44</v>
      </c>
      <c r="G1507" s="50"/>
    </row>
    <row r="1508" spans="1:7" ht="22.5" x14ac:dyDescent="0.25">
      <c r="A1508" s="42">
        <v>78180102</v>
      </c>
      <c r="B1508" s="43" t="str">
        <f ca="1">IFERROR(INDEX(UNSPSCDes,MATCH(INDIRECT(ADDRESS(ROW(),COLUMN()-1,4)),UNSPSCCode,0)),"")</f>
        <v>Reparación de Transmisión</v>
      </c>
      <c r="C1508" s="42" t="s">
        <v>46</v>
      </c>
      <c r="D1508" s="42">
        <v>1</v>
      </c>
      <c r="E1508" s="45">
        <v>1100000</v>
      </c>
      <c r="F1508" s="46">
        <f ca="1">INDIRECT(ADDRESS(ROW(),COLUMN()-2,4))*INDIRECT(ADDRESS(ROW(),COLUMN()-1,4))</f>
        <v>1100000</v>
      </c>
      <c r="G1508" s="50"/>
    </row>
    <row r="1509" spans="1:7" x14ac:dyDescent="0.25">
      <c r="A1509" s="50"/>
      <c r="B1509" s="50"/>
      <c r="C1509" s="50"/>
      <c r="D1509" s="50"/>
      <c r="E1509" s="54" t="s">
        <v>49</v>
      </c>
      <c r="F1509" s="49">
        <f ca="1">SUM(Table3109[MONTO TOTAL ESTIMADO])</f>
        <v>1100000</v>
      </c>
      <c r="G1509" s="50"/>
    </row>
    <row r="1510" spans="1:7" ht="15.75" thickBot="1" x14ac:dyDescent="0.3">
      <c r="A1510" s="63"/>
      <c r="B1510" s="63"/>
      <c r="C1510" s="63"/>
      <c r="D1510" s="63"/>
      <c r="E1510" s="63"/>
      <c r="F1510" s="63"/>
      <c r="G1510" s="63"/>
    </row>
    <row r="1511" spans="1:7" ht="34.5" thickBot="1" x14ac:dyDescent="0.3">
      <c r="A1511" s="31" t="s">
        <v>18</v>
      </c>
      <c r="B1511" s="31" t="s">
        <v>19</v>
      </c>
      <c r="C1511" s="31" t="s">
        <v>20</v>
      </c>
      <c r="D1511" s="31" t="s">
        <v>21</v>
      </c>
      <c r="E1511" s="31" t="s">
        <v>22</v>
      </c>
      <c r="F1511" s="31" t="s">
        <v>23</v>
      </c>
      <c r="G1511" s="50"/>
    </row>
    <row r="1512" spans="1:7" ht="15.75" thickBot="1" x14ac:dyDescent="0.3">
      <c r="A1512" s="33" t="s">
        <v>69</v>
      </c>
      <c r="B1512" s="33" t="s">
        <v>70</v>
      </c>
      <c r="C1512" s="33" t="s">
        <v>26</v>
      </c>
      <c r="D1512" s="33" t="s">
        <v>52</v>
      </c>
      <c r="E1512" s="33" t="s">
        <v>53</v>
      </c>
      <c r="F1512" s="33"/>
      <c r="G1512" s="50"/>
    </row>
    <row r="1513" spans="1:7" ht="15.75" thickBot="1" x14ac:dyDescent="0.3">
      <c r="A1513" s="34" t="s">
        <v>28</v>
      </c>
      <c r="B1513" s="35" t="s">
        <v>29</v>
      </c>
      <c r="C1513" s="51">
        <v>45148</v>
      </c>
      <c r="D1513" s="34" t="s">
        <v>30</v>
      </c>
      <c r="E1513" s="35" t="s">
        <v>31</v>
      </c>
      <c r="F1513" s="33" t="s">
        <v>32</v>
      </c>
      <c r="G1513" s="50"/>
    </row>
    <row r="1514" spans="1:7" ht="15.75" thickBot="1" x14ac:dyDescent="0.3">
      <c r="A1514" s="39"/>
      <c r="B1514" s="35" t="s">
        <v>33</v>
      </c>
      <c r="C1514" s="52">
        <f>IF(C1513="","",IF(AND(MONTH(C1513)&gt;=1,MONTH(C1513)&lt;=3),1,IF(AND(MONTH(C1513)&gt;=4,MONTH(C1513)&lt;=6),2,IF(AND(MONTH(C1513)&gt;=7,MONTH(C1513)&lt;=9),3,4))))</f>
        <v>3</v>
      </c>
      <c r="D1514" s="39"/>
      <c r="E1514" s="35" t="s">
        <v>34</v>
      </c>
      <c r="F1514" s="33" t="s">
        <v>35</v>
      </c>
      <c r="G1514" s="50"/>
    </row>
    <row r="1515" spans="1:7" ht="15.75" thickBot="1" x14ac:dyDescent="0.3">
      <c r="A1515" s="39"/>
      <c r="B1515" s="35" t="s">
        <v>36</v>
      </c>
      <c r="C1515" s="51">
        <v>45156</v>
      </c>
      <c r="D1515" s="39"/>
      <c r="E1515" s="35" t="s">
        <v>37</v>
      </c>
      <c r="F1515" s="33" t="s">
        <v>35</v>
      </c>
      <c r="G1515" s="50"/>
    </row>
    <row r="1516" spans="1:7" ht="15.75" thickBot="1" x14ac:dyDescent="0.3">
      <c r="A1516" s="39"/>
      <c r="B1516" s="35" t="s">
        <v>33</v>
      </c>
      <c r="C1516" s="52">
        <f>IF(C1515="","",IF(AND(MONTH(C1515)&gt;=1,MONTH(C1515)&lt;=3),1,IF(AND(MONTH(C1515)&gt;=4,MONTH(C1515)&lt;=6),2,IF(AND(MONTH(C1515)&gt;=7,MONTH(C1515)&lt;=9),3,4))))</f>
        <v>3</v>
      </c>
      <c r="D1516" s="39"/>
      <c r="E1516" s="35" t="s">
        <v>38</v>
      </c>
      <c r="F1516" s="33" t="s">
        <v>35</v>
      </c>
      <c r="G1516" s="50"/>
    </row>
    <row r="1517" spans="1:7" ht="15.75" thickBot="1" x14ac:dyDescent="0.3">
      <c r="A1517" s="50"/>
      <c r="B1517" s="50"/>
      <c r="C1517" s="50"/>
      <c r="D1517" s="50"/>
      <c r="E1517" s="50"/>
      <c r="F1517" s="50"/>
      <c r="G1517" s="50"/>
    </row>
    <row r="1518" spans="1:7" ht="15.75" thickBot="1" x14ac:dyDescent="0.3">
      <c r="A1518" s="41" t="s">
        <v>39</v>
      </c>
      <c r="B1518" s="41" t="s">
        <v>40</v>
      </c>
      <c r="C1518" s="41" t="s">
        <v>41</v>
      </c>
      <c r="D1518" s="41" t="s">
        <v>42</v>
      </c>
      <c r="E1518" s="41" t="s">
        <v>43</v>
      </c>
      <c r="F1518" s="41" t="s">
        <v>44</v>
      </c>
      <c r="G1518" s="50"/>
    </row>
    <row r="1519" spans="1:7" ht="45" x14ac:dyDescent="0.25">
      <c r="A1519" s="42">
        <v>26121519</v>
      </c>
      <c r="B1519" s="43" t="str">
        <f ca="1">IFERROR(INDEX(UNSPSCDes,MATCH(INDIRECT(ADDRESS(ROW(),COLUMN()-1,4)),UNSPSCCode,0)),"")</f>
        <v>Alambre de aluminio revestido de cobre</v>
      </c>
      <c r="C1519" s="42" t="s">
        <v>46</v>
      </c>
      <c r="D1519" s="42">
        <v>2</v>
      </c>
      <c r="E1519" s="45">
        <v>12862</v>
      </c>
      <c r="F1519" s="46">
        <f ca="1">INDIRECT(ADDRESS(ROW(),COLUMN()-2,4))*INDIRECT(ADDRESS(ROW(),COLUMN()-1,4))</f>
        <v>25724</v>
      </c>
      <c r="G1519" s="50"/>
    </row>
    <row r="1520" spans="1:7" ht="45" x14ac:dyDescent="0.25">
      <c r="A1520" s="42">
        <v>26121519</v>
      </c>
      <c r="B1520" s="43" t="str">
        <f ca="1">IFERROR(INDEX(UNSPSCDes,MATCH(INDIRECT(ADDRESS(ROW(),COLUMN()-1,4)),UNSPSCCode,0)),"")</f>
        <v>Alambre de aluminio revestido de cobre</v>
      </c>
      <c r="C1520" s="42" t="s">
        <v>46</v>
      </c>
      <c r="D1520" s="42">
        <v>2</v>
      </c>
      <c r="E1520" s="45">
        <v>5980</v>
      </c>
      <c r="F1520" s="46">
        <f ca="1">INDIRECT(ADDRESS(ROW(),COLUMN()-2,4))*INDIRECT(ADDRESS(ROW(),COLUMN()-1,4))</f>
        <v>11960</v>
      </c>
      <c r="G1520" s="50"/>
    </row>
    <row r="1521" spans="1:7" x14ac:dyDescent="0.25">
      <c r="A1521" s="42">
        <v>31201501</v>
      </c>
      <c r="B1521" s="43" t="str">
        <f ca="1">IFERROR(INDEX(UNSPSCDes,MATCH(INDIRECT(ADDRESS(ROW(),COLUMN()-1,4)),UNSPSCCode,0)),"")</f>
        <v>Cinta de ductos</v>
      </c>
      <c r="C1521" s="42" t="s">
        <v>46</v>
      </c>
      <c r="D1521" s="42">
        <v>5</v>
      </c>
      <c r="E1521" s="45">
        <v>200</v>
      </c>
      <c r="F1521" s="46">
        <f ca="1">INDIRECT(ADDRESS(ROW(),COLUMN()-2,4))*INDIRECT(ADDRESS(ROW(),COLUMN()-1,4))</f>
        <v>1000</v>
      </c>
      <c r="G1521" s="50"/>
    </row>
    <row r="1522" spans="1:7" x14ac:dyDescent="0.25">
      <c r="A1522" s="42">
        <v>31201501</v>
      </c>
      <c r="B1522" s="43" t="str">
        <f ca="1">IFERROR(INDEX(UNSPSCDes,MATCH(INDIRECT(ADDRESS(ROW(),COLUMN()-1,4)),UNSPSCCode,0)),"")</f>
        <v>Cinta de ductos</v>
      </c>
      <c r="C1522" s="42" t="s">
        <v>46</v>
      </c>
      <c r="D1522" s="42">
        <v>15</v>
      </c>
      <c r="E1522" s="45">
        <v>1235</v>
      </c>
      <c r="F1522" s="46">
        <f ca="1">INDIRECT(ADDRESS(ROW(),COLUMN()-2,4))*INDIRECT(ADDRESS(ROW(),COLUMN()-1,4))</f>
        <v>18525</v>
      </c>
      <c r="G1522" s="50"/>
    </row>
    <row r="1523" spans="1:7" x14ac:dyDescent="0.25">
      <c r="A1523" s="50"/>
      <c r="B1523" s="50"/>
      <c r="C1523" s="50"/>
      <c r="D1523" s="50"/>
      <c r="E1523" s="54" t="s">
        <v>49</v>
      </c>
      <c r="F1523" s="49">
        <f ca="1">SUM(Table3110[MONTO TOTAL ESTIMADO])</f>
        <v>57209</v>
      </c>
      <c r="G1523" s="50"/>
    </row>
    <row r="1524" spans="1:7" ht="15.75" thickBot="1" x14ac:dyDescent="0.3">
      <c r="A1524" s="63"/>
      <c r="B1524" s="63"/>
      <c r="C1524" s="63"/>
      <c r="D1524" s="63"/>
      <c r="E1524" s="63"/>
      <c r="F1524" s="63"/>
      <c r="G1524" s="63"/>
    </row>
    <row r="1525" spans="1:7" ht="34.5" thickBot="1" x14ac:dyDescent="0.3">
      <c r="A1525" s="31" t="s">
        <v>18</v>
      </c>
      <c r="B1525" s="31" t="s">
        <v>19</v>
      </c>
      <c r="C1525" s="31" t="s">
        <v>20</v>
      </c>
      <c r="D1525" s="31" t="s">
        <v>21</v>
      </c>
      <c r="E1525" s="31" t="s">
        <v>22</v>
      </c>
      <c r="F1525" s="31" t="s">
        <v>23</v>
      </c>
      <c r="G1525" s="50"/>
    </row>
    <row r="1526" spans="1:7" ht="15.75" thickBot="1" x14ac:dyDescent="0.3">
      <c r="A1526" s="33" t="s">
        <v>135</v>
      </c>
      <c r="B1526" s="33" t="s">
        <v>133</v>
      </c>
      <c r="C1526" s="33" t="s">
        <v>74</v>
      </c>
      <c r="D1526" s="33" t="s">
        <v>27</v>
      </c>
      <c r="E1526" s="33" t="s">
        <v>53</v>
      </c>
      <c r="F1526" s="33"/>
      <c r="G1526" s="50"/>
    </row>
    <row r="1527" spans="1:7" ht="15.75" thickBot="1" x14ac:dyDescent="0.3">
      <c r="A1527" s="34" t="s">
        <v>28</v>
      </c>
      <c r="B1527" s="35" t="s">
        <v>29</v>
      </c>
      <c r="C1527" s="51">
        <v>45146</v>
      </c>
      <c r="D1527" s="34" t="s">
        <v>30</v>
      </c>
      <c r="E1527" s="35" t="s">
        <v>31</v>
      </c>
      <c r="F1527" s="33" t="s">
        <v>32</v>
      </c>
      <c r="G1527" s="50"/>
    </row>
    <row r="1528" spans="1:7" ht="15.75" thickBot="1" x14ac:dyDescent="0.3">
      <c r="A1528" s="39"/>
      <c r="B1528" s="35" t="s">
        <v>33</v>
      </c>
      <c r="C1528" s="52">
        <f>IF(C1527="","",IF(AND(MONTH(C1527)&gt;=1,MONTH(C1527)&lt;=3),1,IF(AND(MONTH(C1527)&gt;=4,MONTH(C1527)&lt;=6),2,IF(AND(MONTH(C1527)&gt;=7,MONTH(C1527)&lt;=9),3,4))))</f>
        <v>3</v>
      </c>
      <c r="D1528" s="39"/>
      <c r="E1528" s="35" t="s">
        <v>34</v>
      </c>
      <c r="F1528" s="33" t="s">
        <v>35</v>
      </c>
      <c r="G1528" s="50"/>
    </row>
    <row r="1529" spans="1:7" ht="15.75" thickBot="1" x14ac:dyDescent="0.3">
      <c r="A1529" s="39"/>
      <c r="B1529" s="35" t="s">
        <v>36</v>
      </c>
      <c r="C1529" s="51">
        <v>45155</v>
      </c>
      <c r="D1529" s="39"/>
      <c r="E1529" s="35" t="s">
        <v>37</v>
      </c>
      <c r="F1529" s="33" t="s">
        <v>35</v>
      </c>
      <c r="G1529" s="50"/>
    </row>
    <row r="1530" spans="1:7" ht="15.75" thickBot="1" x14ac:dyDescent="0.3">
      <c r="A1530" s="39"/>
      <c r="B1530" s="35" t="s">
        <v>33</v>
      </c>
      <c r="C1530" s="52">
        <f>IF(C1529="","",IF(AND(MONTH(C1529)&gt;=1,MONTH(C1529)&lt;=3),1,IF(AND(MONTH(C1529)&gt;=4,MONTH(C1529)&lt;=6),2,IF(AND(MONTH(C1529)&gt;=7,MONTH(C1529)&lt;=9),3,4))))</f>
        <v>3</v>
      </c>
      <c r="D1530" s="39"/>
      <c r="E1530" s="35" t="s">
        <v>38</v>
      </c>
      <c r="F1530" s="33" t="s">
        <v>35</v>
      </c>
      <c r="G1530" s="50"/>
    </row>
    <row r="1531" spans="1:7" ht="15.75" thickBot="1" x14ac:dyDescent="0.3">
      <c r="A1531" s="50"/>
      <c r="B1531" s="50"/>
      <c r="C1531" s="50"/>
      <c r="D1531" s="50"/>
      <c r="E1531" s="50"/>
      <c r="F1531" s="50"/>
      <c r="G1531" s="50"/>
    </row>
    <row r="1532" spans="1:7" ht="15.75" thickBot="1" x14ac:dyDescent="0.3">
      <c r="A1532" s="41" t="s">
        <v>39</v>
      </c>
      <c r="B1532" s="41" t="s">
        <v>40</v>
      </c>
      <c r="C1532" s="41" t="s">
        <v>41</v>
      </c>
      <c r="D1532" s="41" t="s">
        <v>42</v>
      </c>
      <c r="E1532" s="41" t="s">
        <v>43</v>
      </c>
      <c r="F1532" s="41" t="s">
        <v>44</v>
      </c>
      <c r="G1532" s="50"/>
    </row>
    <row r="1533" spans="1:7" ht="33.75" x14ac:dyDescent="0.25">
      <c r="A1533" s="42">
        <v>72101901</v>
      </c>
      <c r="B1533" s="43" t="str">
        <f ca="1">IFERROR(INDEX(UNSPSCDes,MATCH(INDIRECT(ADDRESS(ROW(),COLUMN()-1,4)),UNSPSCCode,0)),"")</f>
        <v>Diseño o decoración de interiores</v>
      </c>
      <c r="C1533" s="42" t="s">
        <v>46</v>
      </c>
      <c r="D1533" s="42">
        <v>1</v>
      </c>
      <c r="E1533" s="45">
        <v>300000</v>
      </c>
      <c r="F1533" s="46">
        <f ca="1">INDIRECT(ADDRESS(ROW(),COLUMN()-2,4))*INDIRECT(ADDRESS(ROW(),COLUMN()-1,4))</f>
        <v>300000</v>
      </c>
      <c r="G1533" s="50"/>
    </row>
    <row r="1534" spans="1:7" x14ac:dyDescent="0.25">
      <c r="A1534" s="50"/>
      <c r="B1534" s="50"/>
      <c r="C1534" s="50"/>
      <c r="D1534" s="50"/>
      <c r="E1534" s="54" t="s">
        <v>49</v>
      </c>
      <c r="F1534" s="49">
        <f ca="1">SUM(Table3111[MONTO TOTAL ESTIMADO])</f>
        <v>300000</v>
      </c>
      <c r="G1534" s="50"/>
    </row>
    <row r="1535" spans="1:7" ht="15.75" thickBot="1" x14ac:dyDescent="0.3">
      <c r="A1535" s="63"/>
      <c r="B1535" s="63"/>
      <c r="C1535" s="63"/>
      <c r="D1535" s="63"/>
      <c r="E1535" s="63"/>
      <c r="F1535" s="63"/>
      <c r="G1535" s="63"/>
    </row>
    <row r="1536" spans="1:7" ht="34.5" thickBot="1" x14ac:dyDescent="0.3">
      <c r="A1536" s="31" t="s">
        <v>18</v>
      </c>
      <c r="B1536" s="31" t="s">
        <v>19</v>
      </c>
      <c r="C1536" s="31" t="s">
        <v>20</v>
      </c>
      <c r="D1536" s="31" t="s">
        <v>21</v>
      </c>
      <c r="E1536" s="31" t="s">
        <v>22</v>
      </c>
      <c r="F1536" s="31" t="s">
        <v>23</v>
      </c>
      <c r="G1536" s="50"/>
    </row>
    <row r="1537" spans="1:7" ht="15.75" thickBot="1" x14ac:dyDescent="0.3">
      <c r="A1537" s="33" t="s">
        <v>83</v>
      </c>
      <c r="B1537" s="33" t="s">
        <v>84</v>
      </c>
      <c r="C1537" s="33" t="s">
        <v>74</v>
      </c>
      <c r="D1537" s="33" t="s">
        <v>52</v>
      </c>
      <c r="E1537" s="33" t="s">
        <v>62</v>
      </c>
      <c r="F1537" s="33"/>
      <c r="G1537" s="50"/>
    </row>
    <row r="1538" spans="1:7" ht="15.75" thickBot="1" x14ac:dyDescent="0.3">
      <c r="A1538" s="34" t="s">
        <v>28</v>
      </c>
      <c r="B1538" s="35" t="s">
        <v>29</v>
      </c>
      <c r="C1538" s="51">
        <v>45139</v>
      </c>
      <c r="D1538" s="34" t="s">
        <v>30</v>
      </c>
      <c r="E1538" s="35" t="s">
        <v>31</v>
      </c>
      <c r="F1538" s="33" t="s">
        <v>32</v>
      </c>
      <c r="G1538" s="50"/>
    </row>
    <row r="1539" spans="1:7" ht="15.75" thickBot="1" x14ac:dyDescent="0.3">
      <c r="A1539" s="39"/>
      <c r="B1539" s="35" t="s">
        <v>33</v>
      </c>
      <c r="C1539" s="52">
        <f>IF(C1538="","",IF(AND(MONTH(C1538)&gt;=1,MONTH(C1538)&lt;=3),1,IF(AND(MONTH(C1538)&gt;=4,MONTH(C1538)&lt;=6),2,IF(AND(MONTH(C1538)&gt;=7,MONTH(C1538)&lt;=9),3,4))))</f>
        <v>3</v>
      </c>
      <c r="D1539" s="39"/>
      <c r="E1539" s="35" t="s">
        <v>34</v>
      </c>
      <c r="F1539" s="33" t="s">
        <v>35</v>
      </c>
      <c r="G1539" s="50"/>
    </row>
    <row r="1540" spans="1:7" ht="15.75" thickBot="1" x14ac:dyDescent="0.3">
      <c r="A1540" s="39"/>
      <c r="B1540" s="35" t="s">
        <v>36</v>
      </c>
      <c r="C1540" s="51">
        <v>45148</v>
      </c>
      <c r="D1540" s="39"/>
      <c r="E1540" s="35" t="s">
        <v>37</v>
      </c>
      <c r="F1540" s="33" t="s">
        <v>35</v>
      </c>
      <c r="G1540" s="50"/>
    </row>
    <row r="1541" spans="1:7" ht="15.75" thickBot="1" x14ac:dyDescent="0.3">
      <c r="A1541" s="39"/>
      <c r="B1541" s="35" t="s">
        <v>33</v>
      </c>
      <c r="C1541" s="52">
        <f>IF(C1540="","",IF(AND(MONTH(C1540)&gt;=1,MONTH(C1540)&lt;=3),1,IF(AND(MONTH(C1540)&gt;=4,MONTH(C1540)&lt;=6),2,IF(AND(MONTH(C1540)&gt;=7,MONTH(C1540)&lt;=9),3,4))))</f>
        <v>3</v>
      </c>
      <c r="D1541" s="39"/>
      <c r="E1541" s="35" t="s">
        <v>38</v>
      </c>
      <c r="F1541" s="33" t="s">
        <v>35</v>
      </c>
      <c r="G1541" s="50"/>
    </row>
    <row r="1542" spans="1:7" ht="15.75" thickBot="1" x14ac:dyDescent="0.3">
      <c r="A1542" s="50"/>
      <c r="B1542" s="50"/>
      <c r="C1542" s="50"/>
      <c r="D1542" s="50"/>
      <c r="E1542" s="50"/>
      <c r="F1542" s="50"/>
      <c r="G1542" s="50"/>
    </row>
    <row r="1543" spans="1:7" ht="15.75" thickBot="1" x14ac:dyDescent="0.3">
      <c r="A1543" s="41" t="s">
        <v>39</v>
      </c>
      <c r="B1543" s="41" t="s">
        <v>40</v>
      </c>
      <c r="C1543" s="41" t="s">
        <v>41</v>
      </c>
      <c r="D1543" s="41" t="s">
        <v>42</v>
      </c>
      <c r="E1543" s="41" t="s">
        <v>43</v>
      </c>
      <c r="F1543" s="41" t="s">
        <v>44</v>
      </c>
      <c r="G1543" s="50"/>
    </row>
    <row r="1544" spans="1:7" ht="22.5" x14ac:dyDescent="0.25">
      <c r="A1544" s="42">
        <v>82121503</v>
      </c>
      <c r="B1544" s="43" t="str">
        <f ca="1">IFERROR(INDEX(UNSPSCDes,MATCH(INDIRECT(ADDRESS(ROW(),COLUMN()-1,4)),UNSPSCCode,0)),"")</f>
        <v>Impresión digital</v>
      </c>
      <c r="C1544" s="42" t="s">
        <v>46</v>
      </c>
      <c r="D1544" s="42">
        <v>9</v>
      </c>
      <c r="E1544" s="45">
        <v>10000</v>
      </c>
      <c r="F1544" s="46">
        <f ca="1">INDIRECT(ADDRESS(ROW(),COLUMN()-2,4))*INDIRECT(ADDRESS(ROW(),COLUMN()-1,4))</f>
        <v>90000</v>
      </c>
      <c r="G1544" s="50"/>
    </row>
    <row r="1545" spans="1:7" ht="33.75" x14ac:dyDescent="0.25">
      <c r="A1545" s="42">
        <v>80121704</v>
      </c>
      <c r="B1545" s="43" t="str">
        <f ca="1">IFERROR(INDEX(UNSPSCDes,MATCH(INDIRECT(ADDRESS(ROW(),COLUMN()-1,4)),UNSPSCCode,0)),"")</f>
        <v>Servicios legales sobre contratos</v>
      </c>
      <c r="C1545" s="42" t="s">
        <v>46</v>
      </c>
      <c r="D1545" s="42">
        <v>8</v>
      </c>
      <c r="E1545" s="45">
        <v>5000</v>
      </c>
      <c r="F1545" s="46">
        <f ca="1">INDIRECT(ADDRESS(ROW(),COLUMN()-2,4))*INDIRECT(ADDRESS(ROW(),COLUMN()-1,4))</f>
        <v>40000</v>
      </c>
      <c r="G1545" s="50"/>
    </row>
    <row r="1546" spans="1:7" x14ac:dyDescent="0.25">
      <c r="A1546" s="50"/>
      <c r="B1546" s="50"/>
      <c r="C1546" s="50"/>
      <c r="D1546" s="50"/>
      <c r="E1546" s="54" t="s">
        <v>49</v>
      </c>
      <c r="F1546" s="49">
        <f ca="1">SUM(Table3112[MONTO TOTAL ESTIMADO])</f>
        <v>130000</v>
      </c>
      <c r="G1546" s="50"/>
    </row>
    <row r="1547" spans="1:7" ht="15.75" thickBot="1" x14ac:dyDescent="0.3">
      <c r="A1547" s="63"/>
      <c r="B1547" s="63"/>
      <c r="C1547" s="63"/>
      <c r="D1547" s="63"/>
      <c r="E1547" s="63"/>
      <c r="F1547" s="63"/>
      <c r="G1547" s="63"/>
    </row>
    <row r="1548" spans="1:7" ht="34.5" thickBot="1" x14ac:dyDescent="0.3">
      <c r="A1548" s="31" t="s">
        <v>18</v>
      </c>
      <c r="B1548" s="31" t="s">
        <v>19</v>
      </c>
      <c r="C1548" s="31" t="s">
        <v>20</v>
      </c>
      <c r="D1548" s="31" t="s">
        <v>21</v>
      </c>
      <c r="E1548" s="31" t="s">
        <v>22</v>
      </c>
      <c r="F1548" s="31" t="s">
        <v>23</v>
      </c>
      <c r="G1548" s="50"/>
    </row>
    <row r="1549" spans="1:7" ht="15.75" thickBot="1" x14ac:dyDescent="0.3">
      <c r="A1549" s="33" t="s">
        <v>89</v>
      </c>
      <c r="B1549" s="33" t="s">
        <v>90</v>
      </c>
      <c r="C1549" s="33" t="s">
        <v>74</v>
      </c>
      <c r="D1549" s="33" t="s">
        <v>27</v>
      </c>
      <c r="E1549" s="33" t="s">
        <v>53</v>
      </c>
      <c r="F1549" s="33"/>
      <c r="G1549" s="50"/>
    </row>
    <row r="1550" spans="1:7" ht="15.75" thickBot="1" x14ac:dyDescent="0.3">
      <c r="A1550" s="34" t="s">
        <v>28</v>
      </c>
      <c r="B1550" s="35" t="s">
        <v>29</v>
      </c>
      <c r="C1550" s="51">
        <v>45142</v>
      </c>
      <c r="D1550" s="34" t="s">
        <v>30</v>
      </c>
      <c r="E1550" s="35" t="s">
        <v>31</v>
      </c>
      <c r="F1550" s="33" t="s">
        <v>32</v>
      </c>
      <c r="G1550" s="50"/>
    </row>
    <row r="1551" spans="1:7" ht="15.75" thickBot="1" x14ac:dyDescent="0.3">
      <c r="A1551" s="39"/>
      <c r="B1551" s="35" t="s">
        <v>33</v>
      </c>
      <c r="C1551" s="52">
        <f>IF(C1550="","",IF(AND(MONTH(C1550)&gt;=1,MONTH(C1550)&lt;=3),1,IF(AND(MONTH(C1550)&gt;=4,MONTH(C1550)&lt;=6),2,IF(AND(MONTH(C1550)&gt;=7,MONTH(C1550)&lt;=9),3,4))))</f>
        <v>3</v>
      </c>
      <c r="D1551" s="39"/>
      <c r="E1551" s="35" t="s">
        <v>34</v>
      </c>
      <c r="F1551" s="33" t="s">
        <v>35</v>
      </c>
      <c r="G1551" s="50"/>
    </row>
    <row r="1552" spans="1:7" ht="15.75" thickBot="1" x14ac:dyDescent="0.3">
      <c r="A1552" s="39"/>
      <c r="B1552" s="35" t="s">
        <v>36</v>
      </c>
      <c r="C1552" s="51">
        <v>45149</v>
      </c>
      <c r="D1552" s="39"/>
      <c r="E1552" s="35" t="s">
        <v>37</v>
      </c>
      <c r="F1552" s="33" t="s">
        <v>35</v>
      </c>
      <c r="G1552" s="50"/>
    </row>
    <row r="1553" spans="1:7" ht="15.75" thickBot="1" x14ac:dyDescent="0.3">
      <c r="A1553" s="39"/>
      <c r="B1553" s="35" t="s">
        <v>33</v>
      </c>
      <c r="C1553" s="52">
        <f>IF(C1552="","",IF(AND(MONTH(C1552)&gt;=1,MONTH(C1552)&lt;=3),1,IF(AND(MONTH(C1552)&gt;=4,MONTH(C1552)&lt;=6),2,IF(AND(MONTH(C1552)&gt;=7,MONTH(C1552)&lt;=9),3,4))))</f>
        <v>3</v>
      </c>
      <c r="D1553" s="39"/>
      <c r="E1553" s="35" t="s">
        <v>38</v>
      </c>
      <c r="F1553" s="33" t="s">
        <v>35</v>
      </c>
      <c r="G1553" s="50"/>
    </row>
    <row r="1554" spans="1:7" ht="15.75" thickBot="1" x14ac:dyDescent="0.3">
      <c r="A1554" s="50"/>
      <c r="B1554" s="50"/>
      <c r="C1554" s="50"/>
      <c r="D1554" s="50"/>
      <c r="E1554" s="50"/>
      <c r="F1554" s="50"/>
      <c r="G1554" s="50"/>
    </row>
    <row r="1555" spans="1:7" ht="15.75" thickBot="1" x14ac:dyDescent="0.3">
      <c r="A1555" s="41" t="s">
        <v>39</v>
      </c>
      <c r="B1555" s="41" t="s">
        <v>40</v>
      </c>
      <c r="C1555" s="41" t="s">
        <v>41</v>
      </c>
      <c r="D1555" s="41" t="s">
        <v>42</v>
      </c>
      <c r="E1555" s="41" t="s">
        <v>43</v>
      </c>
      <c r="F1555" s="41" t="s">
        <v>44</v>
      </c>
      <c r="G1555" s="50"/>
    </row>
    <row r="1556" spans="1:7" ht="33.75" x14ac:dyDescent="0.25">
      <c r="A1556" s="42">
        <v>50192701</v>
      </c>
      <c r="B1556" s="43" t="str">
        <f ca="1">IFERROR(INDEX(UNSPSCDes,MATCH(INDIRECT(ADDRESS(ROW(),COLUMN()-1,4)),UNSPSCCode,0)),"")</f>
        <v>Comidas combinadas frescas</v>
      </c>
      <c r="C1556" s="42" t="s">
        <v>46</v>
      </c>
      <c r="D1556" s="42">
        <v>50</v>
      </c>
      <c r="E1556" s="45">
        <v>275</v>
      </c>
      <c r="F1556" s="46">
        <f ca="1">INDIRECT(ADDRESS(ROW(),COLUMN()-2,4))*INDIRECT(ADDRESS(ROW(),COLUMN()-1,4))</f>
        <v>13750</v>
      </c>
      <c r="G1556" s="50"/>
    </row>
    <row r="1557" spans="1:7" ht="33.75" x14ac:dyDescent="0.25">
      <c r="A1557" s="42">
        <v>50192701</v>
      </c>
      <c r="B1557" s="43" t="str">
        <f ca="1">IFERROR(INDEX(UNSPSCDes,MATCH(INDIRECT(ADDRESS(ROW(),COLUMN()-1,4)),UNSPSCCode,0)),"")</f>
        <v>Comidas combinadas frescas</v>
      </c>
      <c r="C1557" s="42" t="s">
        <v>46</v>
      </c>
      <c r="D1557" s="42">
        <v>500</v>
      </c>
      <c r="E1557" s="45">
        <v>300</v>
      </c>
      <c r="F1557" s="46">
        <f ca="1">INDIRECT(ADDRESS(ROW(),COLUMN()-2,4))*INDIRECT(ADDRESS(ROW(),COLUMN()-1,4))</f>
        <v>150000</v>
      </c>
      <c r="G1557" s="50"/>
    </row>
    <row r="1558" spans="1:7" x14ac:dyDescent="0.25">
      <c r="A1558" s="50"/>
      <c r="B1558" s="50"/>
      <c r="C1558" s="50"/>
      <c r="D1558" s="50"/>
      <c r="E1558" s="54" t="s">
        <v>49</v>
      </c>
      <c r="F1558" s="49">
        <f ca="1">SUM(Table3113[MONTO TOTAL ESTIMADO])</f>
        <v>163750</v>
      </c>
      <c r="G1558" s="50"/>
    </row>
    <row r="1559" spans="1:7" ht="15.75" thickBot="1" x14ac:dyDescent="0.3">
      <c r="A1559" s="63"/>
      <c r="B1559" s="63"/>
      <c r="C1559" s="63"/>
      <c r="D1559" s="63"/>
      <c r="E1559" s="63"/>
      <c r="F1559" s="63"/>
      <c r="G1559" s="63"/>
    </row>
    <row r="1560" spans="1:7" ht="34.5" thickBot="1" x14ac:dyDescent="0.3">
      <c r="A1560" s="31" t="s">
        <v>18</v>
      </c>
      <c r="B1560" s="31" t="s">
        <v>19</v>
      </c>
      <c r="C1560" s="31" t="s">
        <v>20</v>
      </c>
      <c r="D1560" s="31" t="s">
        <v>21</v>
      </c>
      <c r="E1560" s="31" t="s">
        <v>22</v>
      </c>
      <c r="F1560" s="31" t="s">
        <v>23</v>
      </c>
      <c r="G1560" s="50"/>
    </row>
    <row r="1561" spans="1:7" ht="15.75" thickBot="1" x14ac:dyDescent="0.3">
      <c r="A1561" s="32" t="s">
        <v>50</v>
      </c>
      <c r="B1561" s="32" t="s">
        <v>51</v>
      </c>
      <c r="C1561" s="33" t="s">
        <v>26</v>
      </c>
      <c r="D1561" s="33" t="s">
        <v>52</v>
      </c>
      <c r="E1561" s="33" t="s">
        <v>53</v>
      </c>
      <c r="F1561" s="33"/>
      <c r="G1561" s="50"/>
    </row>
    <row r="1562" spans="1:7" ht="15.75" thickBot="1" x14ac:dyDescent="0.3">
      <c r="A1562" s="34" t="s">
        <v>28</v>
      </c>
      <c r="B1562" s="35" t="s">
        <v>29</v>
      </c>
      <c r="C1562" s="51">
        <v>45153</v>
      </c>
      <c r="D1562" s="34" t="s">
        <v>30</v>
      </c>
      <c r="E1562" s="35" t="s">
        <v>31</v>
      </c>
      <c r="F1562" s="33" t="s">
        <v>32</v>
      </c>
      <c r="G1562" s="50"/>
    </row>
    <row r="1563" spans="1:7" ht="15.75" thickBot="1" x14ac:dyDescent="0.3">
      <c r="A1563" s="39"/>
      <c r="B1563" s="35" t="s">
        <v>33</v>
      </c>
      <c r="C1563" s="52">
        <f>IF(C1562="","",IF(AND(MONTH(C1562)&gt;=1,MONTH(C1562)&lt;=3),1,IF(AND(MONTH(C1562)&gt;=4,MONTH(C1562)&lt;=6),2,IF(AND(MONTH(C1562)&gt;=7,MONTH(C1562)&lt;=9),3,4))))</f>
        <v>3</v>
      </c>
      <c r="D1563" s="39"/>
      <c r="E1563" s="35" t="s">
        <v>34</v>
      </c>
      <c r="F1563" s="33" t="s">
        <v>35</v>
      </c>
      <c r="G1563" s="50"/>
    </row>
    <row r="1564" spans="1:7" ht="15.75" thickBot="1" x14ac:dyDescent="0.3">
      <c r="A1564" s="39"/>
      <c r="B1564" s="35" t="s">
        <v>36</v>
      </c>
      <c r="C1564" s="51">
        <v>45162</v>
      </c>
      <c r="D1564" s="39"/>
      <c r="E1564" s="35" t="s">
        <v>37</v>
      </c>
      <c r="F1564" s="33" t="s">
        <v>35</v>
      </c>
      <c r="G1564" s="50"/>
    </row>
    <row r="1565" spans="1:7" ht="15.75" thickBot="1" x14ac:dyDescent="0.3">
      <c r="A1565" s="39"/>
      <c r="B1565" s="35" t="s">
        <v>33</v>
      </c>
      <c r="C1565" s="52">
        <f>IF(C1564="","",IF(AND(MONTH(C1564)&gt;=1,MONTH(C1564)&lt;=3),1,IF(AND(MONTH(C1564)&gt;=4,MONTH(C1564)&lt;=6),2,IF(AND(MONTH(C1564)&gt;=7,MONTH(C1564)&lt;=9),3,4))))</f>
        <v>3</v>
      </c>
      <c r="D1565" s="39"/>
      <c r="E1565" s="35" t="s">
        <v>38</v>
      </c>
      <c r="F1565" s="33" t="s">
        <v>35</v>
      </c>
      <c r="G1565" s="50"/>
    </row>
    <row r="1566" spans="1:7" ht="15.75" thickBot="1" x14ac:dyDescent="0.3">
      <c r="A1566" s="50"/>
      <c r="B1566" s="50"/>
      <c r="C1566" s="50"/>
      <c r="D1566" s="50"/>
      <c r="E1566" s="50"/>
      <c r="F1566" s="50"/>
      <c r="G1566" s="50"/>
    </row>
    <row r="1567" spans="1:7" ht="15.75" thickBot="1" x14ac:dyDescent="0.3">
      <c r="A1567" s="41" t="s">
        <v>39</v>
      </c>
      <c r="B1567" s="41" t="s">
        <v>40</v>
      </c>
      <c r="C1567" s="41" t="s">
        <v>41</v>
      </c>
      <c r="D1567" s="41" t="s">
        <v>42</v>
      </c>
      <c r="E1567" s="41" t="s">
        <v>43</v>
      </c>
      <c r="F1567" s="41" t="s">
        <v>44</v>
      </c>
      <c r="G1567" s="50"/>
    </row>
    <row r="1568" spans="1:7" x14ac:dyDescent="0.25">
      <c r="A1568" s="42">
        <v>50201711</v>
      </c>
      <c r="B1568" s="43" t="str">
        <f ca="1">IFERROR(INDEX(UNSPSCDes,MATCH(INDIRECT(ADDRESS(ROW(),COLUMN()-1,4)),UNSPSCCode,0)),"")</f>
        <v>Té instantáneo</v>
      </c>
      <c r="C1568" s="42" t="s">
        <v>46</v>
      </c>
      <c r="D1568" s="42">
        <v>2</v>
      </c>
      <c r="E1568" s="45">
        <v>300</v>
      </c>
      <c r="F1568" s="46">
        <f ca="1">INDIRECT(ADDRESS(ROW(),COLUMN()-2,4))*INDIRECT(ADDRESS(ROW(),COLUMN()-1,4))</f>
        <v>600</v>
      </c>
      <c r="G1568" s="50"/>
    </row>
    <row r="1569" spans="1:7" x14ac:dyDescent="0.25">
      <c r="A1569" s="50"/>
      <c r="B1569" s="50"/>
      <c r="C1569" s="50"/>
      <c r="D1569" s="50"/>
      <c r="E1569" s="54" t="s">
        <v>49</v>
      </c>
      <c r="F1569" s="49">
        <f ca="1">SUM(Table3114[MONTO TOTAL ESTIMADO])</f>
        <v>600</v>
      </c>
      <c r="G1569" s="50"/>
    </row>
    <row r="1570" spans="1:7" ht="15.75" thickBot="1" x14ac:dyDescent="0.3">
      <c r="A1570" s="63"/>
      <c r="B1570" s="63"/>
      <c r="C1570" s="63"/>
      <c r="D1570" s="63"/>
      <c r="E1570" s="63"/>
      <c r="F1570" s="63"/>
      <c r="G1570" s="63"/>
    </row>
    <row r="1571" spans="1:7" ht="34.5" thickBot="1" x14ac:dyDescent="0.3">
      <c r="A1571" s="31" t="s">
        <v>18</v>
      </c>
      <c r="B1571" s="31" t="s">
        <v>19</v>
      </c>
      <c r="C1571" s="31" t="s">
        <v>20</v>
      </c>
      <c r="D1571" s="31" t="s">
        <v>21</v>
      </c>
      <c r="E1571" s="31" t="s">
        <v>22</v>
      </c>
      <c r="F1571" s="31" t="s">
        <v>23</v>
      </c>
      <c r="G1571" s="50"/>
    </row>
    <row r="1572" spans="1:7" ht="15.75" thickBot="1" x14ac:dyDescent="0.3">
      <c r="A1572" s="33" t="s">
        <v>142</v>
      </c>
      <c r="B1572" s="33" t="s">
        <v>142</v>
      </c>
      <c r="C1572" s="33" t="s">
        <v>74</v>
      </c>
      <c r="D1572" s="33" t="s">
        <v>27</v>
      </c>
      <c r="E1572" s="33" t="s">
        <v>56</v>
      </c>
      <c r="F1572" s="33"/>
      <c r="G1572" s="50"/>
    </row>
    <row r="1573" spans="1:7" ht="15.75" thickBot="1" x14ac:dyDescent="0.3">
      <c r="A1573" s="34" t="s">
        <v>28</v>
      </c>
      <c r="B1573" s="35" t="s">
        <v>29</v>
      </c>
      <c r="C1573" s="51">
        <v>45141</v>
      </c>
      <c r="D1573" s="34" t="s">
        <v>30</v>
      </c>
      <c r="E1573" s="35" t="s">
        <v>31</v>
      </c>
      <c r="F1573" s="33" t="s">
        <v>32</v>
      </c>
      <c r="G1573" s="50"/>
    </row>
    <row r="1574" spans="1:7" ht="15.75" thickBot="1" x14ac:dyDescent="0.3">
      <c r="A1574" s="39"/>
      <c r="B1574" s="35" t="s">
        <v>33</v>
      </c>
      <c r="C1574" s="52">
        <f>IF(C1573="","",IF(AND(MONTH(C1573)&gt;=1,MONTH(C1573)&lt;=3),1,IF(AND(MONTH(C1573)&gt;=4,MONTH(C1573)&lt;=6),2,IF(AND(MONTH(C1573)&gt;=7,MONTH(C1573)&lt;=9),3,4))))</f>
        <v>3</v>
      </c>
      <c r="D1574" s="39"/>
      <c r="E1574" s="35" t="s">
        <v>34</v>
      </c>
      <c r="F1574" s="33" t="s">
        <v>35</v>
      </c>
      <c r="G1574" s="50"/>
    </row>
    <row r="1575" spans="1:7" ht="15.75" thickBot="1" x14ac:dyDescent="0.3">
      <c r="A1575" s="39"/>
      <c r="B1575" s="35" t="s">
        <v>36</v>
      </c>
      <c r="C1575" s="51">
        <v>45149</v>
      </c>
      <c r="D1575" s="39"/>
      <c r="E1575" s="35" t="s">
        <v>37</v>
      </c>
      <c r="F1575" s="33" t="s">
        <v>35</v>
      </c>
      <c r="G1575" s="50"/>
    </row>
    <row r="1576" spans="1:7" ht="15.75" thickBot="1" x14ac:dyDescent="0.3">
      <c r="A1576" s="39"/>
      <c r="B1576" s="35" t="s">
        <v>33</v>
      </c>
      <c r="C1576" s="52">
        <f>IF(C1575="","",IF(AND(MONTH(C1575)&gt;=1,MONTH(C1575)&lt;=3),1,IF(AND(MONTH(C1575)&gt;=4,MONTH(C1575)&lt;=6),2,IF(AND(MONTH(C1575)&gt;=7,MONTH(C1575)&lt;=9),3,4))))</f>
        <v>3</v>
      </c>
      <c r="D1576" s="39"/>
      <c r="E1576" s="35" t="s">
        <v>38</v>
      </c>
      <c r="F1576" s="33" t="s">
        <v>35</v>
      </c>
      <c r="G1576" s="50"/>
    </row>
    <row r="1577" spans="1:7" ht="15.75" thickBot="1" x14ac:dyDescent="0.3">
      <c r="A1577" s="50"/>
      <c r="B1577" s="50"/>
      <c r="C1577" s="50"/>
      <c r="D1577" s="50"/>
      <c r="E1577" s="50"/>
      <c r="F1577" s="50"/>
      <c r="G1577" s="50"/>
    </row>
    <row r="1578" spans="1:7" ht="15.75" thickBot="1" x14ac:dyDescent="0.3">
      <c r="A1578" s="41" t="s">
        <v>39</v>
      </c>
      <c r="B1578" s="41" t="s">
        <v>40</v>
      </c>
      <c r="C1578" s="41" t="s">
        <v>41</v>
      </c>
      <c r="D1578" s="41" t="s">
        <v>42</v>
      </c>
      <c r="E1578" s="41" t="s">
        <v>43</v>
      </c>
      <c r="F1578" s="41" t="s">
        <v>44</v>
      </c>
      <c r="G1578" s="50"/>
    </row>
    <row r="1579" spans="1:7" ht="22.5" x14ac:dyDescent="0.25">
      <c r="A1579" s="42">
        <v>84111603</v>
      </c>
      <c r="B1579" s="43" t="str">
        <f ca="1">IFERROR(INDEX(UNSPSCDes,MATCH(INDIRECT(ADDRESS(ROW(),COLUMN()-1,4)),UNSPSCCode,0)),"")</f>
        <v>Auditorias internas</v>
      </c>
      <c r="C1579" s="42" t="s">
        <v>46</v>
      </c>
      <c r="D1579" s="42">
        <v>1</v>
      </c>
      <c r="E1579" s="45">
        <v>300000</v>
      </c>
      <c r="F1579" s="46">
        <f ca="1">INDIRECT(ADDRESS(ROW(),COLUMN()-2,4))*INDIRECT(ADDRESS(ROW(),COLUMN()-1,4))</f>
        <v>300000</v>
      </c>
      <c r="G1579" s="50"/>
    </row>
    <row r="1580" spans="1:7" x14ac:dyDescent="0.25">
      <c r="A1580" s="50"/>
      <c r="B1580" s="50"/>
      <c r="C1580" s="50"/>
      <c r="D1580" s="50"/>
      <c r="E1580" s="54" t="s">
        <v>49</v>
      </c>
      <c r="F1580" s="49">
        <f ca="1">SUM(Table3115[MONTO TOTAL ESTIMADO])</f>
        <v>300000</v>
      </c>
      <c r="G1580" s="50"/>
    </row>
    <row r="1581" spans="1:7" ht="15.75" thickBot="1" x14ac:dyDescent="0.3">
      <c r="A1581" s="63"/>
      <c r="B1581" s="63"/>
      <c r="C1581" s="63"/>
      <c r="D1581" s="63"/>
      <c r="E1581" s="63"/>
      <c r="F1581" s="63"/>
      <c r="G1581" s="63"/>
    </row>
    <row r="1582" spans="1:7" ht="34.5" thickBot="1" x14ac:dyDescent="0.3">
      <c r="A1582" s="31" t="s">
        <v>18</v>
      </c>
      <c r="B1582" s="31" t="s">
        <v>19</v>
      </c>
      <c r="C1582" s="31" t="s">
        <v>20</v>
      </c>
      <c r="D1582" s="31" t="s">
        <v>21</v>
      </c>
      <c r="E1582" s="31" t="s">
        <v>22</v>
      </c>
      <c r="F1582" s="31" t="s">
        <v>23</v>
      </c>
      <c r="G1582" s="50"/>
    </row>
    <row r="1583" spans="1:7" ht="15.75" thickBot="1" x14ac:dyDescent="0.3">
      <c r="A1583" s="33" t="s">
        <v>142</v>
      </c>
      <c r="B1583" s="33" t="s">
        <v>142</v>
      </c>
      <c r="C1583" s="33" t="s">
        <v>74</v>
      </c>
      <c r="D1583" s="33" t="s">
        <v>27</v>
      </c>
      <c r="E1583" s="33" t="s">
        <v>56</v>
      </c>
      <c r="F1583" s="33"/>
      <c r="G1583" s="50"/>
    </row>
    <row r="1584" spans="1:7" ht="15.75" thickBot="1" x14ac:dyDescent="0.3">
      <c r="A1584" s="34" t="s">
        <v>28</v>
      </c>
      <c r="B1584" s="35" t="s">
        <v>29</v>
      </c>
      <c r="C1584" s="51">
        <v>45156</v>
      </c>
      <c r="D1584" s="34" t="s">
        <v>30</v>
      </c>
      <c r="E1584" s="35" t="s">
        <v>31</v>
      </c>
      <c r="F1584" s="33" t="s">
        <v>32</v>
      </c>
      <c r="G1584" s="50"/>
    </row>
    <row r="1585" spans="1:7" ht="15.75" thickBot="1" x14ac:dyDescent="0.3">
      <c r="A1585" s="39"/>
      <c r="B1585" s="35" t="s">
        <v>33</v>
      </c>
      <c r="C1585" s="52">
        <f>IF(C1584="","",IF(AND(MONTH(C1584)&gt;=1,MONTH(C1584)&lt;=3),1,IF(AND(MONTH(C1584)&gt;=4,MONTH(C1584)&lt;=6),2,IF(AND(MONTH(C1584)&gt;=7,MONTH(C1584)&lt;=9),3,4))))</f>
        <v>3</v>
      </c>
      <c r="D1585" s="39"/>
      <c r="E1585" s="35" t="s">
        <v>34</v>
      </c>
      <c r="F1585" s="33" t="s">
        <v>35</v>
      </c>
      <c r="G1585" s="50"/>
    </row>
    <row r="1586" spans="1:7" ht="15.75" thickBot="1" x14ac:dyDescent="0.3">
      <c r="A1586" s="39"/>
      <c r="B1586" s="35" t="s">
        <v>36</v>
      </c>
      <c r="C1586" s="51">
        <v>45163</v>
      </c>
      <c r="D1586" s="39"/>
      <c r="E1586" s="35" t="s">
        <v>37</v>
      </c>
      <c r="F1586" s="33" t="s">
        <v>35</v>
      </c>
      <c r="G1586" s="50"/>
    </row>
    <row r="1587" spans="1:7" ht="15.75" thickBot="1" x14ac:dyDescent="0.3">
      <c r="A1587" s="39"/>
      <c r="B1587" s="35" t="s">
        <v>33</v>
      </c>
      <c r="C1587" s="52">
        <f>IF(C1586="","",IF(AND(MONTH(C1586)&gt;=1,MONTH(C1586)&lt;=3),1,IF(AND(MONTH(C1586)&gt;=4,MONTH(C1586)&lt;=6),2,IF(AND(MONTH(C1586)&gt;=7,MONTH(C1586)&lt;=9),3,4))))</f>
        <v>3</v>
      </c>
      <c r="D1587" s="39"/>
      <c r="E1587" s="35" t="s">
        <v>38</v>
      </c>
      <c r="F1587" s="33" t="s">
        <v>35</v>
      </c>
      <c r="G1587" s="50"/>
    </row>
    <row r="1588" spans="1:7" ht="15.75" thickBot="1" x14ac:dyDescent="0.3">
      <c r="A1588" s="50"/>
      <c r="B1588" s="50"/>
      <c r="C1588" s="50"/>
      <c r="D1588" s="50"/>
      <c r="E1588" s="50"/>
      <c r="F1588" s="50"/>
      <c r="G1588" s="50"/>
    </row>
    <row r="1589" spans="1:7" ht="15.75" thickBot="1" x14ac:dyDescent="0.3">
      <c r="A1589" s="41" t="s">
        <v>39</v>
      </c>
      <c r="B1589" s="41" t="s">
        <v>40</v>
      </c>
      <c r="C1589" s="41" t="s">
        <v>41</v>
      </c>
      <c r="D1589" s="41" t="s">
        <v>42</v>
      </c>
      <c r="E1589" s="41" t="s">
        <v>43</v>
      </c>
      <c r="F1589" s="41" t="s">
        <v>44</v>
      </c>
      <c r="G1589" s="50"/>
    </row>
    <row r="1590" spans="1:7" ht="22.5" x14ac:dyDescent="0.25">
      <c r="A1590" s="42">
        <v>84111603</v>
      </c>
      <c r="B1590" s="43" t="str">
        <f ca="1">IFERROR(INDEX(UNSPSCDes,MATCH(INDIRECT(ADDRESS(ROW(),COLUMN()-1,4)),UNSPSCCode,0)),"")</f>
        <v>Auditorias internas</v>
      </c>
      <c r="C1590" s="42" t="s">
        <v>46</v>
      </c>
      <c r="D1590" s="42">
        <v>1</v>
      </c>
      <c r="E1590" s="45">
        <v>300000</v>
      </c>
      <c r="F1590" s="46">
        <f ca="1">INDIRECT(ADDRESS(ROW(),COLUMN()-2,4))*INDIRECT(ADDRESS(ROW(),COLUMN()-1,4))</f>
        <v>300000</v>
      </c>
      <c r="G1590" s="50"/>
    </row>
    <row r="1591" spans="1:7" x14ac:dyDescent="0.25">
      <c r="A1591" s="50"/>
      <c r="B1591" s="50"/>
      <c r="C1591" s="50"/>
      <c r="D1591" s="50"/>
      <c r="E1591" s="54" t="s">
        <v>49</v>
      </c>
      <c r="F1591" s="49">
        <f ca="1">SUM(Table3116[MONTO TOTAL ESTIMADO])</f>
        <v>300000</v>
      </c>
      <c r="G1591" s="50"/>
    </row>
    <row r="1592" spans="1:7" ht="15.75" thickBot="1" x14ac:dyDescent="0.3">
      <c r="A1592" s="63"/>
      <c r="B1592" s="63"/>
      <c r="C1592" s="63"/>
      <c r="D1592" s="63"/>
      <c r="E1592" s="63"/>
      <c r="F1592" s="63"/>
      <c r="G1592" s="63"/>
    </row>
    <row r="1593" spans="1:7" ht="34.5" thickBot="1" x14ac:dyDescent="0.3">
      <c r="A1593" s="31" t="s">
        <v>18</v>
      </c>
      <c r="B1593" s="31" t="s">
        <v>19</v>
      </c>
      <c r="C1593" s="31" t="s">
        <v>20</v>
      </c>
      <c r="D1593" s="31" t="s">
        <v>21</v>
      </c>
      <c r="E1593" s="31" t="s">
        <v>22</v>
      </c>
      <c r="F1593" s="31" t="s">
        <v>23</v>
      </c>
      <c r="G1593" s="50"/>
    </row>
    <row r="1594" spans="1:7" ht="15.75" thickBot="1" x14ac:dyDescent="0.3">
      <c r="A1594" s="33" t="s">
        <v>93</v>
      </c>
      <c r="B1594" s="33" t="s">
        <v>94</v>
      </c>
      <c r="C1594" s="33" t="s">
        <v>26</v>
      </c>
      <c r="D1594" s="33" t="s">
        <v>27</v>
      </c>
      <c r="E1594" s="33" t="s">
        <v>56</v>
      </c>
      <c r="F1594" s="33"/>
      <c r="G1594" s="50"/>
    </row>
    <row r="1595" spans="1:7" ht="15.75" thickBot="1" x14ac:dyDescent="0.3">
      <c r="A1595" s="34" t="s">
        <v>28</v>
      </c>
      <c r="B1595" s="35" t="s">
        <v>29</v>
      </c>
      <c r="C1595" s="51">
        <v>45149</v>
      </c>
      <c r="D1595" s="34" t="s">
        <v>30</v>
      </c>
      <c r="E1595" s="35" t="s">
        <v>31</v>
      </c>
      <c r="F1595" s="33" t="s">
        <v>32</v>
      </c>
      <c r="G1595" s="50"/>
    </row>
    <row r="1596" spans="1:7" ht="15.75" thickBot="1" x14ac:dyDescent="0.3">
      <c r="A1596" s="39"/>
      <c r="B1596" s="35" t="s">
        <v>33</v>
      </c>
      <c r="C1596" s="52">
        <f>IF(C1595="","",IF(AND(MONTH(C1595)&gt;=1,MONTH(C1595)&lt;=3),1,IF(AND(MONTH(C1595)&gt;=4,MONTH(C1595)&lt;=6),2,IF(AND(MONTH(C1595)&gt;=7,MONTH(C1595)&lt;=9),3,4))))</f>
        <v>3</v>
      </c>
      <c r="D1596" s="39"/>
      <c r="E1596" s="35" t="s">
        <v>34</v>
      </c>
      <c r="F1596" s="33" t="s">
        <v>35</v>
      </c>
      <c r="G1596" s="50"/>
    </row>
    <row r="1597" spans="1:7" ht="15.75" thickBot="1" x14ac:dyDescent="0.3">
      <c r="A1597" s="39"/>
      <c r="B1597" s="35" t="s">
        <v>36</v>
      </c>
      <c r="C1597" s="51">
        <v>45159</v>
      </c>
      <c r="D1597" s="39"/>
      <c r="E1597" s="35" t="s">
        <v>37</v>
      </c>
      <c r="F1597" s="33" t="s">
        <v>35</v>
      </c>
      <c r="G1597" s="50"/>
    </row>
    <row r="1598" spans="1:7" ht="15.75" thickBot="1" x14ac:dyDescent="0.3">
      <c r="A1598" s="39"/>
      <c r="B1598" s="35" t="s">
        <v>33</v>
      </c>
      <c r="C1598" s="52">
        <f>IF(C1597="","",IF(AND(MONTH(C1597)&gt;=1,MONTH(C1597)&lt;=3),1,IF(AND(MONTH(C1597)&gt;=4,MONTH(C1597)&lt;=6),2,IF(AND(MONTH(C1597)&gt;=7,MONTH(C1597)&lt;=9),3,4))))</f>
        <v>3</v>
      </c>
      <c r="D1598" s="39"/>
      <c r="E1598" s="35" t="s">
        <v>38</v>
      </c>
      <c r="F1598" s="33" t="s">
        <v>35</v>
      </c>
      <c r="G1598" s="50"/>
    </row>
    <row r="1599" spans="1:7" ht="15.75" thickBot="1" x14ac:dyDescent="0.3">
      <c r="A1599" s="50"/>
      <c r="B1599" s="50"/>
      <c r="C1599" s="50"/>
      <c r="D1599" s="50"/>
      <c r="E1599" s="50"/>
      <c r="F1599" s="50"/>
      <c r="G1599" s="50"/>
    </row>
    <row r="1600" spans="1:7" ht="15.75" thickBot="1" x14ac:dyDescent="0.3">
      <c r="A1600" s="41" t="s">
        <v>39</v>
      </c>
      <c r="B1600" s="41" t="s">
        <v>40</v>
      </c>
      <c r="C1600" s="41" t="s">
        <v>41</v>
      </c>
      <c r="D1600" s="41" t="s">
        <v>42</v>
      </c>
      <c r="E1600" s="41" t="s">
        <v>43</v>
      </c>
      <c r="F1600" s="41" t="s">
        <v>44</v>
      </c>
      <c r="G1600" s="50"/>
    </row>
    <row r="1601" spans="1:7" ht="33.75" x14ac:dyDescent="0.25">
      <c r="A1601" s="42">
        <v>43232101</v>
      </c>
      <c r="B1601" s="43" t="str">
        <f ca="1">IFERROR(INDEX(UNSPSCDes,MATCH(INDIRECT(ADDRESS(ROW(),COLUMN()-1,4)),UNSPSCCode,0)),"")</f>
        <v>Software de diseño de patrones</v>
      </c>
      <c r="C1601" s="42" t="s">
        <v>46</v>
      </c>
      <c r="D1601" s="42">
        <v>3</v>
      </c>
      <c r="E1601" s="45">
        <v>85000</v>
      </c>
      <c r="F1601" s="46">
        <f ca="1">INDIRECT(ADDRESS(ROW(),COLUMN()-2,4))*INDIRECT(ADDRESS(ROW(),COLUMN()-1,4))</f>
        <v>255000</v>
      </c>
      <c r="G1601" s="50"/>
    </row>
    <row r="1602" spans="1:7" x14ac:dyDescent="0.25">
      <c r="A1602" s="50"/>
      <c r="B1602" s="50"/>
      <c r="C1602" s="50"/>
      <c r="D1602" s="50"/>
      <c r="E1602" s="54" t="s">
        <v>49</v>
      </c>
      <c r="F1602" s="49">
        <f ca="1">SUM(Table3117[MONTO TOTAL ESTIMADO])</f>
        <v>255000</v>
      </c>
      <c r="G1602" s="50"/>
    </row>
    <row r="1603" spans="1:7" ht="15.75" thickBot="1" x14ac:dyDescent="0.3">
      <c r="A1603" s="63"/>
      <c r="B1603" s="63"/>
      <c r="C1603" s="63"/>
      <c r="D1603" s="63"/>
      <c r="E1603" s="63"/>
      <c r="F1603" s="63"/>
      <c r="G1603" s="63"/>
    </row>
    <row r="1604" spans="1:7" ht="34.5" thickBot="1" x14ac:dyDescent="0.3">
      <c r="A1604" s="31" t="s">
        <v>18</v>
      </c>
      <c r="B1604" s="31" t="s">
        <v>19</v>
      </c>
      <c r="C1604" s="31" t="s">
        <v>20</v>
      </c>
      <c r="D1604" s="31" t="s">
        <v>21</v>
      </c>
      <c r="E1604" s="31" t="s">
        <v>22</v>
      </c>
      <c r="F1604" s="31" t="s">
        <v>23</v>
      </c>
      <c r="G1604" s="50"/>
    </row>
    <row r="1605" spans="1:7" ht="15.75" thickBot="1" x14ac:dyDescent="0.3">
      <c r="A1605" s="33" t="s">
        <v>80</v>
      </c>
      <c r="B1605" s="33" t="s">
        <v>25</v>
      </c>
      <c r="C1605" s="33" t="s">
        <v>26</v>
      </c>
      <c r="D1605" s="33" t="s">
        <v>27</v>
      </c>
      <c r="E1605" s="33" t="s">
        <v>53</v>
      </c>
      <c r="F1605" s="33"/>
      <c r="G1605" s="50"/>
    </row>
    <row r="1606" spans="1:7" ht="15.75" thickBot="1" x14ac:dyDescent="0.3">
      <c r="A1606" s="34" t="s">
        <v>28</v>
      </c>
      <c r="B1606" s="35" t="s">
        <v>29</v>
      </c>
      <c r="C1606" s="51">
        <v>45170</v>
      </c>
      <c r="D1606" s="34" t="s">
        <v>30</v>
      </c>
      <c r="E1606" s="35" t="s">
        <v>31</v>
      </c>
      <c r="F1606" s="33" t="s">
        <v>32</v>
      </c>
      <c r="G1606" s="50"/>
    </row>
    <row r="1607" spans="1:7" ht="15.75" thickBot="1" x14ac:dyDescent="0.3">
      <c r="A1607" s="39"/>
      <c r="B1607" s="35" t="s">
        <v>33</v>
      </c>
      <c r="C1607" s="52">
        <f>IF(C1606="","",IF(AND(MONTH(C1606)&gt;=1,MONTH(C1606)&lt;=3),1,IF(AND(MONTH(C1606)&gt;=4,MONTH(C1606)&lt;=6),2,IF(AND(MONTH(C1606)&gt;=7,MONTH(C1606)&lt;=9),3,4))))</f>
        <v>3</v>
      </c>
      <c r="D1607" s="39"/>
      <c r="E1607" s="35" t="s">
        <v>34</v>
      </c>
      <c r="F1607" s="33" t="s">
        <v>35</v>
      </c>
      <c r="G1607" s="50"/>
    </row>
    <row r="1608" spans="1:7" ht="15.75" thickBot="1" x14ac:dyDescent="0.3">
      <c r="A1608" s="39"/>
      <c r="B1608" s="35" t="s">
        <v>36</v>
      </c>
      <c r="C1608" s="51">
        <v>45180</v>
      </c>
      <c r="D1608" s="39"/>
      <c r="E1608" s="35" t="s">
        <v>37</v>
      </c>
      <c r="F1608" s="33" t="s">
        <v>35</v>
      </c>
      <c r="G1608" s="50"/>
    </row>
    <row r="1609" spans="1:7" ht="15.75" thickBot="1" x14ac:dyDescent="0.3">
      <c r="A1609" s="39"/>
      <c r="B1609" s="35" t="s">
        <v>33</v>
      </c>
      <c r="C1609" s="52">
        <f>IF(C1608="","",IF(AND(MONTH(C1608)&gt;=1,MONTH(C1608)&lt;=3),1,IF(AND(MONTH(C1608)&gt;=4,MONTH(C1608)&lt;=6),2,IF(AND(MONTH(C1608)&gt;=7,MONTH(C1608)&lt;=9),3,4))))</f>
        <v>3</v>
      </c>
      <c r="D1609" s="39"/>
      <c r="E1609" s="35" t="s">
        <v>38</v>
      </c>
      <c r="F1609" s="33" t="s">
        <v>35</v>
      </c>
      <c r="G1609" s="50"/>
    </row>
    <row r="1610" spans="1:7" ht="15.75" thickBot="1" x14ac:dyDescent="0.3">
      <c r="A1610" s="50"/>
      <c r="B1610" s="50"/>
      <c r="C1610" s="50"/>
      <c r="D1610" s="50"/>
      <c r="E1610" s="50"/>
      <c r="F1610" s="50"/>
      <c r="G1610" s="50"/>
    </row>
    <row r="1611" spans="1:7" ht="15.75" thickBot="1" x14ac:dyDescent="0.3">
      <c r="A1611" s="41" t="s">
        <v>39</v>
      </c>
      <c r="B1611" s="41" t="s">
        <v>40</v>
      </c>
      <c r="C1611" s="41" t="s">
        <v>41</v>
      </c>
      <c r="D1611" s="41" t="s">
        <v>42</v>
      </c>
      <c r="E1611" s="41" t="s">
        <v>43</v>
      </c>
      <c r="F1611" s="41" t="s">
        <v>44</v>
      </c>
      <c r="G1611" s="50"/>
    </row>
    <row r="1612" spans="1:7" ht="22.5" x14ac:dyDescent="0.25">
      <c r="A1612" s="42">
        <v>15121801</v>
      </c>
      <c r="B1612" s="43" t="str">
        <f t="shared" ref="B1612:B1643" ca="1" si="27">IFERROR(INDEX(UNSPSCDes,MATCH(INDIRECT(ADDRESS(ROW(),COLUMN()-1,4)),UNSPSCCode,0)),"")</f>
        <v>Repelente de humedad</v>
      </c>
      <c r="C1612" s="42" t="s">
        <v>46</v>
      </c>
      <c r="D1612" s="42">
        <v>9</v>
      </c>
      <c r="E1612" s="45">
        <v>272</v>
      </c>
      <c r="F1612" s="46">
        <f t="shared" ref="F1612:F1666" ca="1" si="28">INDIRECT(ADDRESS(ROW(),COLUMN()-2,4))*INDIRECT(ADDRESS(ROW(),COLUMN()-1,4))</f>
        <v>2448</v>
      </c>
      <c r="G1612" s="50"/>
    </row>
    <row r="1613" spans="1:7" x14ac:dyDescent="0.25">
      <c r="A1613" s="42">
        <v>44121701</v>
      </c>
      <c r="B1613" s="43" t="str">
        <f t="shared" ca="1" si="27"/>
        <v>Bolígrafos</v>
      </c>
      <c r="C1613" s="42" t="s">
        <v>45</v>
      </c>
      <c r="D1613" s="42">
        <v>48</v>
      </c>
      <c r="E1613" s="45">
        <v>62</v>
      </c>
      <c r="F1613" s="46">
        <f t="shared" ca="1" si="28"/>
        <v>2976</v>
      </c>
      <c r="G1613" s="50"/>
    </row>
    <row r="1614" spans="1:7" ht="22.5" x14ac:dyDescent="0.25">
      <c r="A1614" s="42">
        <v>24112504</v>
      </c>
      <c r="B1614" s="43" t="str">
        <f t="shared" ca="1" si="27"/>
        <v>Cajas moldeadas</v>
      </c>
      <c r="C1614" s="42" t="s">
        <v>46</v>
      </c>
      <c r="D1614" s="42">
        <v>400</v>
      </c>
      <c r="E1614" s="45">
        <v>95</v>
      </c>
      <c r="F1614" s="46">
        <f t="shared" ca="1" si="28"/>
        <v>38000</v>
      </c>
      <c r="G1614" s="50"/>
    </row>
    <row r="1615" spans="1:7" x14ac:dyDescent="0.25">
      <c r="A1615" s="42">
        <v>44122003</v>
      </c>
      <c r="B1615" s="43" t="str">
        <f t="shared" ca="1" si="27"/>
        <v>Carpetas</v>
      </c>
      <c r="C1615" s="42" t="s">
        <v>46</v>
      </c>
      <c r="D1615" s="42">
        <v>30</v>
      </c>
      <c r="E1615" s="45">
        <v>219</v>
      </c>
      <c r="F1615" s="46">
        <f t="shared" ca="1" si="28"/>
        <v>6570</v>
      </c>
      <c r="G1615" s="50"/>
    </row>
    <row r="1616" spans="1:7" x14ac:dyDescent="0.25">
      <c r="A1616" s="42">
        <v>44122003</v>
      </c>
      <c r="B1616" s="43" t="str">
        <f t="shared" ca="1" si="27"/>
        <v>Carpetas</v>
      </c>
      <c r="C1616" s="42" t="s">
        <v>46</v>
      </c>
      <c r="D1616" s="42">
        <v>15</v>
      </c>
      <c r="E1616" s="45">
        <v>250</v>
      </c>
      <c r="F1616" s="46">
        <f t="shared" ca="1" si="28"/>
        <v>3750</v>
      </c>
      <c r="G1616" s="50"/>
    </row>
    <row r="1617" spans="1:7" x14ac:dyDescent="0.25">
      <c r="A1617" s="42">
        <v>44122101</v>
      </c>
      <c r="B1617" s="43" t="str">
        <f t="shared" ca="1" si="27"/>
        <v>Cauchos</v>
      </c>
      <c r="C1617" s="42" t="s">
        <v>45</v>
      </c>
      <c r="D1617" s="42">
        <v>6</v>
      </c>
      <c r="E1617" s="45">
        <v>65</v>
      </c>
      <c r="F1617" s="46">
        <f t="shared" ca="1" si="28"/>
        <v>390</v>
      </c>
      <c r="G1617" s="50"/>
    </row>
    <row r="1618" spans="1:7" x14ac:dyDescent="0.25">
      <c r="A1618" s="42">
        <v>31201505</v>
      </c>
      <c r="B1618" s="43" t="str">
        <f t="shared" ca="1" si="27"/>
        <v>Cinta doble faz</v>
      </c>
      <c r="C1618" s="42" t="s">
        <v>46</v>
      </c>
      <c r="D1618" s="42">
        <v>6</v>
      </c>
      <c r="E1618" s="45">
        <v>233</v>
      </c>
      <c r="F1618" s="46">
        <f t="shared" ca="1" si="28"/>
        <v>1398</v>
      </c>
      <c r="G1618" s="50"/>
    </row>
    <row r="1619" spans="1:7" x14ac:dyDescent="0.25">
      <c r="A1619" s="42">
        <v>31201523</v>
      </c>
      <c r="B1619" s="43" t="str">
        <f t="shared" ca="1" si="27"/>
        <v>Cinta de tela</v>
      </c>
      <c r="C1619" s="42" t="s">
        <v>46</v>
      </c>
      <c r="D1619" s="42">
        <v>24</v>
      </c>
      <c r="E1619" s="45">
        <v>60</v>
      </c>
      <c r="F1619" s="46">
        <f t="shared" ca="1" si="28"/>
        <v>1440</v>
      </c>
      <c r="G1619" s="50"/>
    </row>
    <row r="1620" spans="1:7" ht="22.5" x14ac:dyDescent="0.25">
      <c r="A1620" s="42">
        <v>44122104</v>
      </c>
      <c r="B1620" s="43" t="str">
        <f t="shared" ca="1" si="27"/>
        <v>Clips para papel</v>
      </c>
      <c r="C1620" s="42" t="s">
        <v>45</v>
      </c>
      <c r="D1620" s="42">
        <v>3</v>
      </c>
      <c r="E1620" s="45">
        <v>165</v>
      </c>
      <c r="F1620" s="46">
        <f t="shared" ca="1" si="28"/>
        <v>495</v>
      </c>
      <c r="G1620" s="50"/>
    </row>
    <row r="1621" spans="1:7" ht="22.5" x14ac:dyDescent="0.25">
      <c r="A1621" s="42">
        <v>44122104</v>
      </c>
      <c r="B1621" s="43" t="str">
        <f t="shared" ca="1" si="27"/>
        <v>Clips para papel</v>
      </c>
      <c r="C1621" s="42" t="s">
        <v>45</v>
      </c>
      <c r="D1621" s="42">
        <v>2</v>
      </c>
      <c r="E1621" s="45">
        <v>160</v>
      </c>
      <c r="F1621" s="46">
        <f t="shared" ca="1" si="28"/>
        <v>320</v>
      </c>
      <c r="G1621" s="50"/>
    </row>
    <row r="1622" spans="1:7" ht="22.5" x14ac:dyDescent="0.25">
      <c r="A1622" s="42">
        <v>44122104</v>
      </c>
      <c r="B1622" s="43" t="str">
        <f t="shared" ca="1" si="27"/>
        <v>Clips para papel</v>
      </c>
      <c r="C1622" s="42" t="s">
        <v>45</v>
      </c>
      <c r="D1622" s="42">
        <v>5</v>
      </c>
      <c r="E1622" s="45">
        <v>350</v>
      </c>
      <c r="F1622" s="46">
        <f t="shared" ca="1" si="28"/>
        <v>1750</v>
      </c>
      <c r="G1622" s="50"/>
    </row>
    <row r="1623" spans="1:7" ht="22.5" x14ac:dyDescent="0.25">
      <c r="A1623" s="42">
        <v>44122104</v>
      </c>
      <c r="B1623" s="43" t="str">
        <f t="shared" ca="1" si="27"/>
        <v>Clips para papel</v>
      </c>
      <c r="C1623" s="42" t="s">
        <v>45</v>
      </c>
      <c r="D1623" s="42">
        <v>5</v>
      </c>
      <c r="E1623" s="45">
        <v>150</v>
      </c>
      <c r="F1623" s="46">
        <f t="shared" ca="1" si="28"/>
        <v>750</v>
      </c>
      <c r="G1623" s="50"/>
    </row>
    <row r="1624" spans="1:7" ht="22.5" x14ac:dyDescent="0.25">
      <c r="A1624" s="42">
        <v>44122104</v>
      </c>
      <c r="B1624" s="43" t="str">
        <f t="shared" ca="1" si="27"/>
        <v>Clips para papel</v>
      </c>
      <c r="C1624" s="42" t="s">
        <v>45</v>
      </c>
      <c r="D1624" s="42">
        <v>10</v>
      </c>
      <c r="E1624" s="45">
        <v>275</v>
      </c>
      <c r="F1624" s="46">
        <f t="shared" ca="1" si="28"/>
        <v>2750</v>
      </c>
      <c r="G1624" s="50"/>
    </row>
    <row r="1625" spans="1:7" ht="22.5" x14ac:dyDescent="0.25">
      <c r="A1625" s="42">
        <v>44111611</v>
      </c>
      <c r="B1625" s="43" t="str">
        <f t="shared" ca="1" si="27"/>
        <v>Clips para billetes</v>
      </c>
      <c r="C1625" s="42" t="s">
        <v>45</v>
      </c>
      <c r="D1625" s="42">
        <v>3</v>
      </c>
      <c r="E1625" s="45">
        <v>430</v>
      </c>
      <c r="F1625" s="46">
        <f t="shared" ca="1" si="28"/>
        <v>1290</v>
      </c>
      <c r="G1625" s="50"/>
    </row>
    <row r="1626" spans="1:7" ht="22.5" x14ac:dyDescent="0.25">
      <c r="A1626" s="42">
        <v>44111611</v>
      </c>
      <c r="B1626" s="43" t="str">
        <f t="shared" ca="1" si="27"/>
        <v>Clips para billetes</v>
      </c>
      <c r="C1626" s="42" t="s">
        <v>45</v>
      </c>
      <c r="D1626" s="42">
        <v>4</v>
      </c>
      <c r="E1626" s="45">
        <v>650</v>
      </c>
      <c r="F1626" s="46">
        <f t="shared" ca="1" si="28"/>
        <v>2600</v>
      </c>
      <c r="G1626" s="50"/>
    </row>
    <row r="1627" spans="1:7" ht="45" x14ac:dyDescent="0.25">
      <c r="A1627" s="42">
        <v>44103504</v>
      </c>
      <c r="B1627" s="43" t="str">
        <f t="shared" ca="1" si="27"/>
        <v>Alambres o espirales de encuadernación</v>
      </c>
      <c r="C1627" s="42" t="s">
        <v>45</v>
      </c>
      <c r="D1627" s="42">
        <v>4</v>
      </c>
      <c r="E1627" s="45">
        <v>550</v>
      </c>
      <c r="F1627" s="46">
        <f t="shared" ca="1" si="28"/>
        <v>2200</v>
      </c>
      <c r="G1627" s="50"/>
    </row>
    <row r="1628" spans="1:7" ht="45" x14ac:dyDescent="0.25">
      <c r="A1628" s="42">
        <v>44103504</v>
      </c>
      <c r="B1628" s="43" t="str">
        <f t="shared" ca="1" si="27"/>
        <v>Alambres o espirales de encuadernación</v>
      </c>
      <c r="C1628" s="42" t="s">
        <v>45</v>
      </c>
      <c r="D1628" s="42">
        <v>4</v>
      </c>
      <c r="E1628" s="45">
        <v>413</v>
      </c>
      <c r="F1628" s="46">
        <f t="shared" ca="1" si="28"/>
        <v>1652</v>
      </c>
      <c r="G1628" s="50"/>
    </row>
    <row r="1629" spans="1:7" ht="22.5" x14ac:dyDescent="0.25">
      <c r="A1629" s="42">
        <v>55121606</v>
      </c>
      <c r="B1629" s="43" t="str">
        <f t="shared" ca="1" si="27"/>
        <v>Etiquetas auto adhesivas</v>
      </c>
      <c r="C1629" s="42" t="s">
        <v>47</v>
      </c>
      <c r="D1629" s="42">
        <v>5</v>
      </c>
      <c r="E1629" s="45">
        <v>20</v>
      </c>
      <c r="F1629" s="46">
        <f t="shared" ca="1" si="28"/>
        <v>100</v>
      </c>
      <c r="G1629" s="50"/>
    </row>
    <row r="1630" spans="1:7" ht="33.75" x14ac:dyDescent="0.25">
      <c r="A1630" s="42">
        <v>44122027</v>
      </c>
      <c r="B1630" s="43" t="str">
        <f t="shared" ca="1" si="27"/>
        <v>Folders de archivo expandibles</v>
      </c>
      <c r="C1630" s="42" t="s">
        <v>45</v>
      </c>
      <c r="D1630" s="42">
        <v>5</v>
      </c>
      <c r="E1630" s="45">
        <v>1000</v>
      </c>
      <c r="F1630" s="46">
        <f t="shared" ca="1" si="28"/>
        <v>5000</v>
      </c>
      <c r="G1630" s="50"/>
    </row>
    <row r="1631" spans="1:7" x14ac:dyDescent="0.25">
      <c r="A1631" s="42">
        <v>44121503</v>
      </c>
      <c r="B1631" s="43" t="str">
        <f t="shared" ca="1" si="27"/>
        <v>Sobres</v>
      </c>
      <c r="C1631" s="42" t="s">
        <v>45</v>
      </c>
      <c r="D1631" s="42">
        <v>75</v>
      </c>
      <c r="E1631" s="45">
        <v>240</v>
      </c>
      <c r="F1631" s="46">
        <f t="shared" ca="1" si="28"/>
        <v>18000</v>
      </c>
      <c r="G1631" s="50"/>
    </row>
    <row r="1632" spans="1:7" x14ac:dyDescent="0.25">
      <c r="A1632" s="42">
        <v>44121615</v>
      </c>
      <c r="B1632" s="43" t="str">
        <f t="shared" ca="1" si="27"/>
        <v>Grapadoras</v>
      </c>
      <c r="C1632" s="42" t="s">
        <v>46</v>
      </c>
      <c r="D1632" s="42">
        <v>5</v>
      </c>
      <c r="E1632" s="45">
        <v>270</v>
      </c>
      <c r="F1632" s="46">
        <f t="shared" ca="1" si="28"/>
        <v>1350</v>
      </c>
      <c r="G1632" s="50"/>
    </row>
    <row r="1633" spans="1:7" ht="33.75" x14ac:dyDescent="0.25">
      <c r="A1633" s="42">
        <v>14111514</v>
      </c>
      <c r="B1633" s="43" t="str">
        <f t="shared" ca="1" si="27"/>
        <v>Blocs o cuadernos de papel</v>
      </c>
      <c r="C1633" s="42" t="s">
        <v>46</v>
      </c>
      <c r="D1633" s="42">
        <v>36</v>
      </c>
      <c r="E1633" s="45">
        <v>280</v>
      </c>
      <c r="F1633" s="46">
        <f t="shared" ca="1" si="28"/>
        <v>10080</v>
      </c>
      <c r="G1633" s="50"/>
    </row>
    <row r="1634" spans="1:7" ht="33.75" x14ac:dyDescent="0.25">
      <c r="A1634" s="42">
        <v>14111514</v>
      </c>
      <c r="B1634" s="43" t="str">
        <f t="shared" ca="1" si="27"/>
        <v>Blocs o cuadernos de papel</v>
      </c>
      <c r="C1634" s="42" t="s">
        <v>46</v>
      </c>
      <c r="D1634" s="42">
        <v>36</v>
      </c>
      <c r="E1634" s="45">
        <v>35</v>
      </c>
      <c r="F1634" s="46">
        <f t="shared" ca="1" si="28"/>
        <v>1260</v>
      </c>
      <c r="G1634" s="50"/>
    </row>
    <row r="1635" spans="1:7" ht="33.75" x14ac:dyDescent="0.25">
      <c r="A1635" s="42">
        <v>44112001</v>
      </c>
      <c r="B1635" s="43" t="str">
        <f t="shared" ca="1" si="27"/>
        <v>Libretas de direcciones o repuestos</v>
      </c>
      <c r="C1635" s="42" t="s">
        <v>46</v>
      </c>
      <c r="D1635" s="42">
        <v>36</v>
      </c>
      <c r="E1635" s="45">
        <v>280</v>
      </c>
      <c r="F1635" s="46">
        <f t="shared" ca="1" si="28"/>
        <v>10080</v>
      </c>
      <c r="G1635" s="50"/>
    </row>
    <row r="1636" spans="1:7" ht="33.75" x14ac:dyDescent="0.25">
      <c r="A1636" s="42">
        <v>14111514</v>
      </c>
      <c r="B1636" s="43" t="str">
        <f t="shared" ca="1" si="27"/>
        <v>Blocs o cuadernos de papel</v>
      </c>
      <c r="C1636" s="42" t="s">
        <v>46</v>
      </c>
      <c r="D1636" s="42">
        <v>36</v>
      </c>
      <c r="E1636" s="45">
        <v>35</v>
      </c>
      <c r="F1636" s="46">
        <f t="shared" ca="1" si="28"/>
        <v>1260</v>
      </c>
      <c r="G1636" s="50"/>
    </row>
    <row r="1637" spans="1:7" ht="33.75" x14ac:dyDescent="0.25">
      <c r="A1637" s="42">
        <v>14111514</v>
      </c>
      <c r="B1637" s="43" t="str">
        <f t="shared" ca="1" si="27"/>
        <v>Blocs o cuadernos de papel</v>
      </c>
      <c r="C1637" s="42" t="s">
        <v>46</v>
      </c>
      <c r="D1637" s="42">
        <v>6</v>
      </c>
      <c r="E1637" s="45">
        <v>190</v>
      </c>
      <c r="F1637" s="46">
        <f t="shared" ca="1" si="28"/>
        <v>1140</v>
      </c>
      <c r="G1637" s="50"/>
    </row>
    <row r="1638" spans="1:7" ht="33.75" x14ac:dyDescent="0.25">
      <c r="A1638" s="42">
        <v>14111514</v>
      </c>
      <c r="B1638" s="43" t="str">
        <f t="shared" ca="1" si="27"/>
        <v>Blocs o cuadernos de papel</v>
      </c>
      <c r="C1638" s="42" t="s">
        <v>46</v>
      </c>
      <c r="D1638" s="42">
        <v>6</v>
      </c>
      <c r="E1638" s="45">
        <v>250</v>
      </c>
      <c r="F1638" s="46">
        <f t="shared" ca="1" si="28"/>
        <v>1500</v>
      </c>
      <c r="G1638" s="50"/>
    </row>
    <row r="1639" spans="1:7" ht="45" x14ac:dyDescent="0.25">
      <c r="A1639" s="42">
        <v>44121628</v>
      </c>
      <c r="B1639" s="43" t="str">
        <f t="shared" ca="1" si="27"/>
        <v>Contenedores o dispensadores de clips</v>
      </c>
      <c r="C1639" s="42" t="s">
        <v>46</v>
      </c>
      <c r="D1639" s="42">
        <v>6</v>
      </c>
      <c r="E1639" s="45">
        <v>36</v>
      </c>
      <c r="F1639" s="46">
        <f t="shared" ca="1" si="28"/>
        <v>216</v>
      </c>
      <c r="G1639" s="50"/>
    </row>
    <row r="1640" spans="1:7" ht="33.75" x14ac:dyDescent="0.25">
      <c r="A1640" s="42">
        <v>44111509</v>
      </c>
      <c r="B1640" s="43" t="str">
        <f t="shared" ca="1" si="27"/>
        <v>Sujetadores de esferos o lápices</v>
      </c>
      <c r="C1640" s="42" t="s">
        <v>46</v>
      </c>
      <c r="D1640" s="42">
        <v>6</v>
      </c>
      <c r="E1640" s="45">
        <v>75</v>
      </c>
      <c r="F1640" s="46">
        <f t="shared" ca="1" si="28"/>
        <v>450</v>
      </c>
      <c r="G1640" s="50"/>
    </row>
    <row r="1641" spans="1:7" ht="22.5" x14ac:dyDescent="0.25">
      <c r="A1641" s="42">
        <v>14111530</v>
      </c>
      <c r="B1641" s="43" t="str">
        <f t="shared" ca="1" si="27"/>
        <v>Papel de notas autoadhesivas</v>
      </c>
      <c r="C1641" s="42" t="s">
        <v>47</v>
      </c>
      <c r="D1641" s="42">
        <v>4</v>
      </c>
      <c r="E1641" s="45">
        <v>20</v>
      </c>
      <c r="F1641" s="46">
        <f t="shared" ca="1" si="28"/>
        <v>80</v>
      </c>
      <c r="G1641" s="50"/>
    </row>
    <row r="1642" spans="1:7" ht="22.5" x14ac:dyDescent="0.25">
      <c r="A1642" s="42">
        <v>14111530</v>
      </c>
      <c r="B1642" s="43" t="str">
        <f t="shared" ca="1" si="27"/>
        <v>Papel de notas autoadhesivas</v>
      </c>
      <c r="C1642" s="42" t="s">
        <v>47</v>
      </c>
      <c r="D1642" s="42">
        <v>12</v>
      </c>
      <c r="E1642" s="45">
        <v>320</v>
      </c>
      <c r="F1642" s="46">
        <f t="shared" ca="1" si="28"/>
        <v>3840</v>
      </c>
      <c r="G1642" s="50"/>
    </row>
    <row r="1643" spans="1:7" ht="22.5" x14ac:dyDescent="0.25">
      <c r="A1643" s="42">
        <v>14111530</v>
      </c>
      <c r="B1643" s="43" t="str">
        <f t="shared" ca="1" si="27"/>
        <v>Papel de notas autoadhesivas</v>
      </c>
      <c r="C1643" s="42" t="s">
        <v>47</v>
      </c>
      <c r="D1643" s="42">
        <v>12</v>
      </c>
      <c r="E1643" s="45">
        <v>600</v>
      </c>
      <c r="F1643" s="46">
        <f t="shared" ca="1" si="28"/>
        <v>7200</v>
      </c>
      <c r="G1643" s="50"/>
    </row>
    <row r="1644" spans="1:7" ht="22.5" x14ac:dyDescent="0.25">
      <c r="A1644" s="42">
        <v>44122002</v>
      </c>
      <c r="B1644" s="43" t="str">
        <f t="shared" ref="B1644:B1666" ca="1" si="29">IFERROR(INDEX(UNSPSCDes,MATCH(INDIRECT(ADDRESS(ROW(),COLUMN()-1,4)),UNSPSCCode,0)),"")</f>
        <v>Protectores de hojas</v>
      </c>
      <c r="C1644" s="42" t="s">
        <v>47</v>
      </c>
      <c r="D1644" s="42">
        <v>12</v>
      </c>
      <c r="E1644" s="45">
        <v>200</v>
      </c>
      <c r="F1644" s="46">
        <f t="shared" ca="1" si="28"/>
        <v>2400</v>
      </c>
      <c r="G1644" s="50"/>
    </row>
    <row r="1645" spans="1:7" x14ac:dyDescent="0.25">
      <c r="A1645" s="42">
        <v>44111808</v>
      </c>
      <c r="B1645" s="43" t="str">
        <f t="shared" ca="1" si="29"/>
        <v>Reglas t</v>
      </c>
      <c r="C1645" s="42" t="s">
        <v>46</v>
      </c>
      <c r="D1645" s="42">
        <v>12</v>
      </c>
      <c r="E1645" s="45">
        <v>25</v>
      </c>
      <c r="F1645" s="46">
        <f t="shared" ca="1" si="28"/>
        <v>300</v>
      </c>
      <c r="G1645" s="50"/>
    </row>
    <row r="1646" spans="1:7" ht="33.75" x14ac:dyDescent="0.25">
      <c r="A1646" s="42">
        <v>26121704</v>
      </c>
      <c r="B1646" s="43" t="str">
        <f t="shared" ca="1" si="29"/>
        <v>Arnés de alambrado especial</v>
      </c>
      <c r="C1646" s="42" t="s">
        <v>46</v>
      </c>
      <c r="D1646" s="42">
        <v>9</v>
      </c>
      <c r="E1646" s="45">
        <v>420</v>
      </c>
      <c r="F1646" s="46">
        <f t="shared" ca="1" si="28"/>
        <v>3780</v>
      </c>
      <c r="G1646" s="50"/>
    </row>
    <row r="1647" spans="1:7" x14ac:dyDescent="0.25">
      <c r="A1647" s="42">
        <v>44121716</v>
      </c>
      <c r="B1647" s="43" t="str">
        <f t="shared" ca="1" si="29"/>
        <v>Resaltadores</v>
      </c>
      <c r="C1647" s="42" t="s">
        <v>45</v>
      </c>
      <c r="D1647" s="42">
        <v>6</v>
      </c>
      <c r="E1647" s="45">
        <v>180</v>
      </c>
      <c r="F1647" s="46">
        <f t="shared" ca="1" si="28"/>
        <v>1080</v>
      </c>
      <c r="G1647" s="50"/>
    </row>
    <row r="1648" spans="1:7" x14ac:dyDescent="0.25">
      <c r="A1648" s="42">
        <v>44121716</v>
      </c>
      <c r="B1648" s="43" t="str">
        <f t="shared" ca="1" si="29"/>
        <v>Resaltadores</v>
      </c>
      <c r="C1648" s="42" t="s">
        <v>45</v>
      </c>
      <c r="D1648" s="42">
        <v>3</v>
      </c>
      <c r="E1648" s="45">
        <v>181</v>
      </c>
      <c r="F1648" s="46">
        <f t="shared" ca="1" si="28"/>
        <v>543</v>
      </c>
      <c r="G1648" s="50"/>
    </row>
    <row r="1649" spans="1:7" x14ac:dyDescent="0.25">
      <c r="A1649" s="42">
        <v>44121716</v>
      </c>
      <c r="B1649" s="43" t="str">
        <f t="shared" ca="1" si="29"/>
        <v>Resaltadores</v>
      </c>
      <c r="C1649" s="42" t="s">
        <v>45</v>
      </c>
      <c r="D1649" s="42">
        <v>3</v>
      </c>
      <c r="E1649" s="45">
        <v>181</v>
      </c>
      <c r="F1649" s="46">
        <f t="shared" ca="1" si="28"/>
        <v>543</v>
      </c>
      <c r="G1649" s="50"/>
    </row>
    <row r="1650" spans="1:7" x14ac:dyDescent="0.25">
      <c r="A1650" s="42">
        <v>44121716</v>
      </c>
      <c r="B1650" s="43" t="str">
        <f t="shared" ca="1" si="29"/>
        <v>Resaltadores</v>
      </c>
      <c r="C1650" s="42" t="s">
        <v>65</v>
      </c>
      <c r="D1650" s="42">
        <v>3</v>
      </c>
      <c r="E1650" s="45">
        <v>235</v>
      </c>
      <c r="F1650" s="46">
        <f t="shared" ca="1" si="28"/>
        <v>705</v>
      </c>
      <c r="G1650" s="50"/>
    </row>
    <row r="1651" spans="1:7" ht="33.75" x14ac:dyDescent="0.25">
      <c r="A1651" s="42">
        <v>44103502</v>
      </c>
      <c r="B1651" s="43" t="str">
        <f t="shared" ca="1" si="29"/>
        <v>Tapas de encuadernación</v>
      </c>
      <c r="C1651" s="42" t="s">
        <v>47</v>
      </c>
      <c r="D1651" s="42">
        <v>12</v>
      </c>
      <c r="E1651" s="45">
        <v>410</v>
      </c>
      <c r="F1651" s="46">
        <f t="shared" ca="1" si="28"/>
        <v>4920</v>
      </c>
      <c r="G1651" s="50"/>
    </row>
    <row r="1652" spans="1:7" ht="33.75" x14ac:dyDescent="0.25">
      <c r="A1652" s="42">
        <v>44103502</v>
      </c>
      <c r="B1652" s="43" t="str">
        <f t="shared" ca="1" si="29"/>
        <v>Tapas de encuadernación</v>
      </c>
      <c r="C1652" s="42" t="s">
        <v>47</v>
      </c>
      <c r="D1652" s="42">
        <v>12</v>
      </c>
      <c r="E1652" s="45">
        <v>425</v>
      </c>
      <c r="F1652" s="46">
        <f t="shared" ca="1" si="28"/>
        <v>5100</v>
      </c>
      <c r="G1652" s="50"/>
    </row>
    <row r="1653" spans="1:7" ht="22.5" x14ac:dyDescent="0.25">
      <c r="A1653" s="42">
        <v>60121152</v>
      </c>
      <c r="B1653" s="43" t="str">
        <f t="shared" ca="1" si="29"/>
        <v>Tablillas de escritura</v>
      </c>
      <c r="C1653" s="42" t="s">
        <v>46</v>
      </c>
      <c r="D1653" s="42">
        <v>6</v>
      </c>
      <c r="E1653" s="45">
        <v>195</v>
      </c>
      <c r="F1653" s="46">
        <f t="shared" ca="1" si="28"/>
        <v>1170</v>
      </c>
      <c r="G1653" s="50"/>
    </row>
    <row r="1654" spans="1:7" x14ac:dyDescent="0.25">
      <c r="A1654" s="42">
        <v>44121618</v>
      </c>
      <c r="B1654" s="43" t="str">
        <f t="shared" ca="1" si="29"/>
        <v>Tijeras</v>
      </c>
      <c r="C1654" s="42" t="s">
        <v>46</v>
      </c>
      <c r="D1654" s="42">
        <v>6</v>
      </c>
      <c r="E1654" s="45">
        <v>45</v>
      </c>
      <c r="F1654" s="46">
        <f t="shared" ca="1" si="28"/>
        <v>270</v>
      </c>
      <c r="G1654" s="50"/>
    </row>
    <row r="1655" spans="1:7" ht="33.75" x14ac:dyDescent="0.25">
      <c r="A1655" s="42">
        <v>60121104</v>
      </c>
      <c r="B1655" s="43" t="str">
        <f t="shared" ca="1" si="29"/>
        <v>Papel bond para para dibujo</v>
      </c>
      <c r="C1655" s="42" t="s">
        <v>45</v>
      </c>
      <c r="D1655" s="42">
        <v>10</v>
      </c>
      <c r="E1655" s="45">
        <v>2237.2800000000002</v>
      </c>
      <c r="F1655" s="46">
        <f t="shared" ca="1" si="28"/>
        <v>22372.800000000003</v>
      </c>
      <c r="G1655" s="50"/>
    </row>
    <row r="1656" spans="1:7" x14ac:dyDescent="0.25">
      <c r="A1656" s="42">
        <v>44121503</v>
      </c>
      <c r="B1656" s="43" t="str">
        <f t="shared" ca="1" si="29"/>
        <v>Sobres</v>
      </c>
      <c r="C1656" s="42" t="s">
        <v>45</v>
      </c>
      <c r="D1656" s="42">
        <v>1</v>
      </c>
      <c r="E1656" s="45">
        <v>1800</v>
      </c>
      <c r="F1656" s="46">
        <f t="shared" ca="1" si="28"/>
        <v>1800</v>
      </c>
      <c r="G1656" s="50"/>
    </row>
    <row r="1657" spans="1:7" ht="33.75" x14ac:dyDescent="0.25">
      <c r="A1657" s="42">
        <v>60121104</v>
      </c>
      <c r="B1657" s="43" t="str">
        <f t="shared" ca="1" si="29"/>
        <v>Papel bond para para dibujo</v>
      </c>
      <c r="C1657" s="42" t="s">
        <v>45</v>
      </c>
      <c r="D1657" s="42">
        <v>55</v>
      </c>
      <c r="E1657" s="45">
        <v>2237.2800000000002</v>
      </c>
      <c r="F1657" s="46">
        <f t="shared" ca="1" si="28"/>
        <v>123050.40000000001</v>
      </c>
      <c r="G1657" s="50"/>
    </row>
    <row r="1658" spans="1:7" x14ac:dyDescent="0.25">
      <c r="A1658" s="42">
        <v>31201610</v>
      </c>
      <c r="B1658" s="43" t="str">
        <f t="shared" ca="1" si="29"/>
        <v>Pegamentos</v>
      </c>
      <c r="C1658" s="42" t="s">
        <v>59</v>
      </c>
      <c r="D1658" s="42">
        <v>3</v>
      </c>
      <c r="E1658" s="45">
        <v>300</v>
      </c>
      <c r="F1658" s="46">
        <f t="shared" ca="1" si="28"/>
        <v>900</v>
      </c>
      <c r="G1658" s="50"/>
    </row>
    <row r="1659" spans="1:7" x14ac:dyDescent="0.25">
      <c r="A1659" s="42">
        <v>31201610</v>
      </c>
      <c r="B1659" s="43" t="str">
        <f t="shared" ca="1" si="29"/>
        <v>Pegamentos</v>
      </c>
      <c r="C1659" s="42" t="s">
        <v>46</v>
      </c>
      <c r="D1659" s="42">
        <v>6</v>
      </c>
      <c r="E1659" s="45">
        <v>148</v>
      </c>
      <c r="F1659" s="46">
        <f t="shared" ca="1" si="28"/>
        <v>888</v>
      </c>
      <c r="G1659" s="50"/>
    </row>
    <row r="1660" spans="1:7" ht="45" x14ac:dyDescent="0.25">
      <c r="A1660" s="42">
        <v>44121621</v>
      </c>
      <c r="B1660" s="43" t="str">
        <f t="shared" ca="1" si="29"/>
        <v>Almohadillas para escritorio o sus accesorios</v>
      </c>
      <c r="C1660" s="42" t="s">
        <v>46</v>
      </c>
      <c r="D1660" s="42">
        <v>12</v>
      </c>
      <c r="E1660" s="45">
        <v>36</v>
      </c>
      <c r="F1660" s="46">
        <f t="shared" ca="1" si="28"/>
        <v>432</v>
      </c>
      <c r="G1660" s="50"/>
    </row>
    <row r="1661" spans="1:7" ht="22.5" x14ac:dyDescent="0.25">
      <c r="A1661" s="42">
        <v>47131812</v>
      </c>
      <c r="B1661" s="43" t="str">
        <f t="shared" ca="1" si="29"/>
        <v>Refrescador de aire</v>
      </c>
      <c r="C1661" s="42" t="s">
        <v>45</v>
      </c>
      <c r="D1661" s="42">
        <v>5</v>
      </c>
      <c r="E1661" s="45">
        <v>101</v>
      </c>
      <c r="F1661" s="46">
        <f t="shared" ca="1" si="28"/>
        <v>505</v>
      </c>
      <c r="G1661" s="50"/>
    </row>
    <row r="1662" spans="1:7" x14ac:dyDescent="0.25">
      <c r="A1662" s="42">
        <v>44122101</v>
      </c>
      <c r="B1662" s="43" t="str">
        <f t="shared" ca="1" si="29"/>
        <v>Cauchos</v>
      </c>
      <c r="C1662" s="42" t="s">
        <v>46</v>
      </c>
      <c r="D1662" s="42">
        <v>35</v>
      </c>
      <c r="E1662" s="45">
        <v>26</v>
      </c>
      <c r="F1662" s="46">
        <f t="shared" ca="1" si="28"/>
        <v>910</v>
      </c>
      <c r="G1662" s="50"/>
    </row>
    <row r="1663" spans="1:7" ht="22.5" x14ac:dyDescent="0.25">
      <c r="A1663" s="42">
        <v>44121605</v>
      </c>
      <c r="B1663" s="43" t="str">
        <f t="shared" ca="1" si="29"/>
        <v>Dispensadores de cinta</v>
      </c>
      <c r="C1663" s="42" t="s">
        <v>46</v>
      </c>
      <c r="D1663" s="42">
        <v>6</v>
      </c>
      <c r="E1663" s="45">
        <v>125</v>
      </c>
      <c r="F1663" s="46">
        <f t="shared" ca="1" si="28"/>
        <v>750</v>
      </c>
      <c r="G1663" s="50"/>
    </row>
    <row r="1664" spans="1:7" ht="22.5" x14ac:dyDescent="0.25">
      <c r="A1664" s="42">
        <v>43202001</v>
      </c>
      <c r="B1664" s="43" t="str">
        <f t="shared" ca="1" si="29"/>
        <v>Discos compactos cd</v>
      </c>
      <c r="C1664" s="42" t="s">
        <v>46</v>
      </c>
      <c r="D1664" s="42">
        <v>7</v>
      </c>
      <c r="E1664" s="45">
        <v>25</v>
      </c>
      <c r="F1664" s="46">
        <f t="shared" ca="1" si="28"/>
        <v>175</v>
      </c>
      <c r="G1664" s="50"/>
    </row>
    <row r="1665" spans="1:7" ht="22.5" x14ac:dyDescent="0.25">
      <c r="A1665" s="42">
        <v>12181501</v>
      </c>
      <c r="B1665" s="43" t="str">
        <f t="shared" ca="1" si="29"/>
        <v>Ceras sintéticas</v>
      </c>
      <c r="C1665" s="42" t="s">
        <v>46</v>
      </c>
      <c r="D1665" s="42">
        <v>7</v>
      </c>
      <c r="E1665" s="45">
        <v>43</v>
      </c>
      <c r="F1665" s="46">
        <f t="shared" ca="1" si="28"/>
        <v>301</v>
      </c>
      <c r="G1665" s="50"/>
    </row>
    <row r="1666" spans="1:7" ht="22.5" x14ac:dyDescent="0.25">
      <c r="A1666" s="42">
        <v>44121802</v>
      </c>
      <c r="B1666" s="43" t="str">
        <f t="shared" ca="1" si="29"/>
        <v>Fluido de corrección</v>
      </c>
      <c r="C1666" s="42" t="s">
        <v>45</v>
      </c>
      <c r="D1666" s="42">
        <v>3</v>
      </c>
      <c r="E1666" s="45">
        <v>360</v>
      </c>
      <c r="F1666" s="46">
        <f t="shared" ca="1" si="28"/>
        <v>1080</v>
      </c>
      <c r="G1666" s="50"/>
    </row>
    <row r="1667" spans="1:7" x14ac:dyDescent="0.25">
      <c r="A1667" s="50"/>
      <c r="B1667" s="50"/>
      <c r="C1667" s="50"/>
      <c r="D1667" s="50"/>
      <c r="E1667" s="54" t="s">
        <v>49</v>
      </c>
      <c r="F1667" s="49">
        <f ca="1">SUM(Table3118[MONTO TOTAL ESTIMADO])</f>
        <v>306310.2</v>
      </c>
      <c r="G1667" s="50"/>
    </row>
    <row r="1668" spans="1:7" ht="15.75" thickBot="1" x14ac:dyDescent="0.3">
      <c r="A1668" s="63"/>
      <c r="B1668" s="63"/>
      <c r="C1668" s="63"/>
      <c r="D1668" s="63"/>
      <c r="E1668" s="63"/>
      <c r="F1668" s="63"/>
      <c r="G1668" s="63"/>
    </row>
    <row r="1669" spans="1:7" ht="34.5" thickBot="1" x14ac:dyDescent="0.3">
      <c r="A1669" s="31" t="s">
        <v>18</v>
      </c>
      <c r="B1669" s="31" t="s">
        <v>19</v>
      </c>
      <c r="C1669" s="31" t="s">
        <v>20</v>
      </c>
      <c r="D1669" s="31" t="s">
        <v>21</v>
      </c>
      <c r="E1669" s="31" t="s">
        <v>22</v>
      </c>
      <c r="F1669" s="31" t="s">
        <v>23</v>
      </c>
      <c r="G1669" s="50"/>
    </row>
    <row r="1670" spans="1:7" ht="15.75" thickBot="1" x14ac:dyDescent="0.3">
      <c r="A1670" s="33" t="s">
        <v>63</v>
      </c>
      <c r="B1670" s="33" t="s">
        <v>64</v>
      </c>
      <c r="C1670" s="33" t="s">
        <v>26</v>
      </c>
      <c r="D1670" s="33" t="s">
        <v>52</v>
      </c>
      <c r="E1670" s="33" t="s">
        <v>53</v>
      </c>
      <c r="F1670" s="33"/>
      <c r="G1670" s="50"/>
    </row>
    <row r="1671" spans="1:7" ht="15.75" thickBot="1" x14ac:dyDescent="0.3">
      <c r="A1671" s="34" t="s">
        <v>28</v>
      </c>
      <c r="B1671" s="35" t="s">
        <v>29</v>
      </c>
      <c r="C1671" s="51">
        <v>45174</v>
      </c>
      <c r="D1671" s="34" t="s">
        <v>30</v>
      </c>
      <c r="E1671" s="35" t="s">
        <v>31</v>
      </c>
      <c r="F1671" s="33" t="s">
        <v>32</v>
      </c>
      <c r="G1671" s="50"/>
    </row>
    <row r="1672" spans="1:7" ht="15.75" thickBot="1" x14ac:dyDescent="0.3">
      <c r="A1672" s="39"/>
      <c r="B1672" s="35" t="s">
        <v>33</v>
      </c>
      <c r="C1672" s="52">
        <f>IF(C1671="","",IF(AND(MONTH(C1671)&gt;=1,MONTH(C1671)&lt;=3),1,IF(AND(MONTH(C1671)&gt;=4,MONTH(C1671)&lt;=6),2,IF(AND(MONTH(C1671)&gt;=7,MONTH(C1671)&lt;=9),3,4))))</f>
        <v>3</v>
      </c>
      <c r="D1672" s="39"/>
      <c r="E1672" s="35" t="s">
        <v>34</v>
      </c>
      <c r="F1672" s="33" t="s">
        <v>35</v>
      </c>
      <c r="G1672" s="50"/>
    </row>
    <row r="1673" spans="1:7" ht="15.75" thickBot="1" x14ac:dyDescent="0.3">
      <c r="A1673" s="39"/>
      <c r="B1673" s="35" t="s">
        <v>36</v>
      </c>
      <c r="C1673" s="51">
        <v>45183</v>
      </c>
      <c r="D1673" s="39"/>
      <c r="E1673" s="35" t="s">
        <v>37</v>
      </c>
      <c r="F1673" s="33" t="s">
        <v>35</v>
      </c>
      <c r="G1673" s="50"/>
    </row>
    <row r="1674" spans="1:7" ht="15.75" thickBot="1" x14ac:dyDescent="0.3">
      <c r="A1674" s="39"/>
      <c r="B1674" s="35" t="s">
        <v>33</v>
      </c>
      <c r="C1674" s="52">
        <f>IF(C1673="","",IF(AND(MONTH(C1673)&gt;=1,MONTH(C1673)&lt;=3),1,IF(AND(MONTH(C1673)&gt;=4,MONTH(C1673)&lt;=6),2,IF(AND(MONTH(C1673)&gt;=7,MONTH(C1673)&lt;=9),3,4))))</f>
        <v>3</v>
      </c>
      <c r="D1674" s="39"/>
      <c r="E1674" s="35" t="s">
        <v>38</v>
      </c>
      <c r="F1674" s="33" t="s">
        <v>35</v>
      </c>
      <c r="G1674" s="50"/>
    </row>
    <row r="1675" spans="1:7" ht="15.75" thickBot="1" x14ac:dyDescent="0.3">
      <c r="A1675" s="50"/>
      <c r="B1675" s="50"/>
      <c r="C1675" s="50"/>
      <c r="D1675" s="50"/>
      <c r="E1675" s="50"/>
      <c r="F1675" s="50"/>
      <c r="G1675" s="50"/>
    </row>
    <row r="1676" spans="1:7" ht="15.75" thickBot="1" x14ac:dyDescent="0.3">
      <c r="A1676" s="41" t="s">
        <v>39</v>
      </c>
      <c r="B1676" s="41" t="s">
        <v>40</v>
      </c>
      <c r="C1676" s="41" t="s">
        <v>41</v>
      </c>
      <c r="D1676" s="41" t="s">
        <v>42</v>
      </c>
      <c r="E1676" s="41" t="s">
        <v>43</v>
      </c>
      <c r="F1676" s="41" t="s">
        <v>44</v>
      </c>
      <c r="G1676" s="50"/>
    </row>
    <row r="1677" spans="1:7" ht="22.5" x14ac:dyDescent="0.25">
      <c r="A1677" s="42">
        <v>51102706</v>
      </c>
      <c r="B1677" s="43" t="str">
        <f ca="1">IFERROR(INDEX(UNSPSCDes,MATCH(INDIRECT(ADDRESS(ROW(),COLUMN()-1,4)),UNSPSCCode,0)),"")</f>
        <v>Ácido acético  antiséptico</v>
      </c>
      <c r="C1677" s="42" t="s">
        <v>45</v>
      </c>
      <c r="D1677" s="42">
        <v>5</v>
      </c>
      <c r="E1677" s="45">
        <v>900</v>
      </c>
      <c r="F1677" s="46">
        <f ca="1">INDIRECT(ADDRESS(ROW(),COLUMN()-2,4))*INDIRECT(ADDRESS(ROW(),COLUMN()-1,4))</f>
        <v>4500</v>
      </c>
      <c r="G1677" s="50"/>
    </row>
    <row r="1678" spans="1:7" ht="22.5" x14ac:dyDescent="0.25">
      <c r="A1678" s="42">
        <v>53131626</v>
      </c>
      <c r="B1678" s="43" t="str">
        <f ca="1">IFERROR(INDEX(UNSPSCDes,MATCH(INDIRECT(ADDRESS(ROW(),COLUMN()-1,4)),UNSPSCCode,0)),"")</f>
        <v>Desinfectante de manos</v>
      </c>
      <c r="C1678" s="42" t="s">
        <v>45</v>
      </c>
      <c r="D1678" s="42">
        <v>6</v>
      </c>
      <c r="E1678" s="45">
        <v>205</v>
      </c>
      <c r="F1678" s="46">
        <f ca="1">INDIRECT(ADDRESS(ROW(),COLUMN()-2,4))*INDIRECT(ADDRESS(ROW(),COLUMN()-1,4))</f>
        <v>1230</v>
      </c>
      <c r="G1678" s="50"/>
    </row>
    <row r="1679" spans="1:7" ht="22.5" x14ac:dyDescent="0.25">
      <c r="A1679" s="42">
        <v>53131626</v>
      </c>
      <c r="B1679" s="43" t="str">
        <f ca="1">IFERROR(INDEX(UNSPSCDes,MATCH(INDIRECT(ADDRESS(ROW(),COLUMN()-1,4)),UNSPSCCode,0)),"")</f>
        <v>Desinfectante de manos</v>
      </c>
      <c r="C1679" s="42" t="s">
        <v>45</v>
      </c>
      <c r="D1679" s="42">
        <v>8</v>
      </c>
      <c r="E1679" s="45">
        <v>700</v>
      </c>
      <c r="F1679" s="46">
        <f ca="1">INDIRECT(ADDRESS(ROW(),COLUMN()-2,4))*INDIRECT(ADDRESS(ROW(),COLUMN()-1,4))</f>
        <v>5600</v>
      </c>
      <c r="G1679" s="50"/>
    </row>
    <row r="1680" spans="1:7" ht="56.25" x14ac:dyDescent="0.25">
      <c r="A1680" s="42">
        <v>42131606</v>
      </c>
      <c r="B1680" s="43" t="str">
        <f ca="1">IFERROR(INDEX(UNSPSCDes,MATCH(INDIRECT(ADDRESS(ROW(),COLUMN()-1,4)),UNSPSCCode,0)),"")</f>
        <v>Máscaras quirúrgicas o de aislamiento para personal médico</v>
      </c>
      <c r="C1680" s="42" t="s">
        <v>45</v>
      </c>
      <c r="D1680" s="42">
        <v>2</v>
      </c>
      <c r="E1680" s="45">
        <v>135</v>
      </c>
      <c r="F1680" s="46">
        <f ca="1">INDIRECT(ADDRESS(ROW(),COLUMN()-2,4))*INDIRECT(ADDRESS(ROW(),COLUMN()-1,4))</f>
        <v>270</v>
      </c>
      <c r="G1680" s="50"/>
    </row>
    <row r="1681" spans="1:7" x14ac:dyDescent="0.25">
      <c r="A1681" s="50"/>
      <c r="B1681" s="50"/>
      <c r="C1681" s="50"/>
      <c r="D1681" s="50"/>
      <c r="E1681" s="54" t="s">
        <v>49</v>
      </c>
      <c r="F1681" s="49">
        <f ca="1">SUM(Table3119[MONTO TOTAL ESTIMADO])</f>
        <v>11600</v>
      </c>
      <c r="G1681" s="50"/>
    </row>
    <row r="1682" spans="1:7" ht="15.75" thickBot="1" x14ac:dyDescent="0.3">
      <c r="A1682" s="63"/>
      <c r="B1682" s="63"/>
      <c r="C1682" s="63"/>
      <c r="D1682" s="63"/>
      <c r="E1682" s="63"/>
      <c r="F1682" s="63"/>
      <c r="G1682" s="63"/>
    </row>
    <row r="1683" spans="1:7" ht="34.5" thickBot="1" x14ac:dyDescent="0.3">
      <c r="A1683" s="31" t="s">
        <v>18</v>
      </c>
      <c r="B1683" s="31" t="s">
        <v>19</v>
      </c>
      <c r="C1683" s="31" t="s">
        <v>20</v>
      </c>
      <c r="D1683" s="31" t="s">
        <v>21</v>
      </c>
      <c r="E1683" s="31" t="s">
        <v>22</v>
      </c>
      <c r="F1683" s="31" t="s">
        <v>23</v>
      </c>
      <c r="G1683" s="50"/>
    </row>
    <row r="1684" spans="1:7" ht="15.75" thickBot="1" x14ac:dyDescent="0.3">
      <c r="A1684" s="33" t="s">
        <v>50</v>
      </c>
      <c r="B1684" s="33" t="s">
        <v>95</v>
      </c>
      <c r="C1684" s="33" t="s">
        <v>26</v>
      </c>
      <c r="D1684" s="33" t="s">
        <v>52</v>
      </c>
      <c r="E1684" s="33" t="s">
        <v>62</v>
      </c>
      <c r="F1684" s="33"/>
      <c r="G1684" s="50"/>
    </row>
    <row r="1685" spans="1:7" ht="15.75" thickBot="1" x14ac:dyDescent="0.3">
      <c r="A1685" s="34" t="s">
        <v>28</v>
      </c>
      <c r="B1685" s="35" t="s">
        <v>29</v>
      </c>
      <c r="C1685" s="51">
        <v>45177</v>
      </c>
      <c r="D1685" s="34" t="s">
        <v>30</v>
      </c>
      <c r="E1685" s="35" t="s">
        <v>31</v>
      </c>
      <c r="F1685" s="33" t="s">
        <v>32</v>
      </c>
      <c r="G1685" s="50"/>
    </row>
    <row r="1686" spans="1:7" ht="15.75" thickBot="1" x14ac:dyDescent="0.3">
      <c r="A1686" s="39"/>
      <c r="B1686" s="35" t="s">
        <v>33</v>
      </c>
      <c r="C1686" s="52">
        <f>IF(C1685="","",IF(AND(MONTH(C1685)&gt;=1,MONTH(C1685)&lt;=3),1,IF(AND(MONTH(C1685)&gt;=4,MONTH(C1685)&lt;=6),2,IF(AND(MONTH(C1685)&gt;=7,MONTH(C1685)&lt;=9),3,4))))</f>
        <v>3</v>
      </c>
      <c r="D1686" s="39"/>
      <c r="E1686" s="35" t="s">
        <v>34</v>
      </c>
      <c r="F1686" s="33" t="s">
        <v>35</v>
      </c>
      <c r="G1686" s="50"/>
    </row>
    <row r="1687" spans="1:7" ht="15.75" thickBot="1" x14ac:dyDescent="0.3">
      <c r="A1687" s="39"/>
      <c r="B1687" s="35" t="s">
        <v>36</v>
      </c>
      <c r="C1687" s="51">
        <v>45187</v>
      </c>
      <c r="D1687" s="39"/>
      <c r="E1687" s="35" t="s">
        <v>37</v>
      </c>
      <c r="F1687" s="33" t="s">
        <v>35</v>
      </c>
      <c r="G1687" s="50"/>
    </row>
    <row r="1688" spans="1:7" ht="15.75" thickBot="1" x14ac:dyDescent="0.3">
      <c r="A1688" s="39"/>
      <c r="B1688" s="35" t="s">
        <v>33</v>
      </c>
      <c r="C1688" s="52">
        <f>IF(C1687="","",IF(AND(MONTH(C1687)&gt;=1,MONTH(C1687)&lt;=3),1,IF(AND(MONTH(C1687)&gt;=4,MONTH(C1687)&lt;=6),2,IF(AND(MONTH(C1687)&gt;=7,MONTH(C1687)&lt;=9),3,4))))</f>
        <v>3</v>
      </c>
      <c r="D1688" s="39"/>
      <c r="E1688" s="35" t="s">
        <v>38</v>
      </c>
      <c r="F1688" s="33" t="s">
        <v>35</v>
      </c>
      <c r="G1688" s="50"/>
    </row>
    <row r="1689" spans="1:7" ht="15.75" thickBot="1" x14ac:dyDescent="0.3">
      <c r="A1689" s="50"/>
      <c r="B1689" s="50"/>
      <c r="C1689" s="50"/>
      <c r="D1689" s="50"/>
      <c r="E1689" s="50"/>
      <c r="F1689" s="50"/>
      <c r="G1689" s="50"/>
    </row>
    <row r="1690" spans="1:7" ht="15.75" thickBot="1" x14ac:dyDescent="0.3">
      <c r="A1690" s="41" t="s">
        <v>39</v>
      </c>
      <c r="B1690" s="41" t="s">
        <v>40</v>
      </c>
      <c r="C1690" s="41" t="s">
        <v>41</v>
      </c>
      <c r="D1690" s="41" t="s">
        <v>42</v>
      </c>
      <c r="E1690" s="41" t="s">
        <v>43</v>
      </c>
      <c r="F1690" s="41" t="s">
        <v>44</v>
      </c>
      <c r="G1690" s="50"/>
    </row>
    <row r="1691" spans="1:7" ht="22.5" x14ac:dyDescent="0.25">
      <c r="A1691" s="42">
        <v>50161510</v>
      </c>
      <c r="B1691" s="43" t="str">
        <f t="shared" ref="B1691:B1701" ca="1" si="30">IFERROR(INDEX(UNSPSCDes,MATCH(INDIRECT(ADDRESS(ROW(),COLUMN()-1,4)),UNSPSCCode,0)),"")</f>
        <v>Endulzantes artificiales</v>
      </c>
      <c r="C1691" s="42" t="s">
        <v>143</v>
      </c>
      <c r="D1691" s="42">
        <v>20</v>
      </c>
      <c r="E1691" s="45">
        <v>170</v>
      </c>
      <c r="F1691" s="46">
        <f t="shared" ref="F1691:F1701" ca="1" si="31">INDIRECT(ADDRESS(ROW(),COLUMN()-2,4))*INDIRECT(ADDRESS(ROW(),COLUMN()-1,4))</f>
        <v>3400</v>
      </c>
      <c r="G1691" s="50"/>
    </row>
    <row r="1692" spans="1:7" ht="22.5" x14ac:dyDescent="0.25">
      <c r="A1692" s="42">
        <v>50161510</v>
      </c>
      <c r="B1692" s="43" t="str">
        <f t="shared" ca="1" si="30"/>
        <v>Endulzantes artificiales</v>
      </c>
      <c r="C1692" s="42" t="s">
        <v>47</v>
      </c>
      <c r="D1692" s="42">
        <v>150</v>
      </c>
      <c r="E1692" s="45">
        <v>150</v>
      </c>
      <c r="F1692" s="46">
        <f t="shared" ca="1" si="31"/>
        <v>22500</v>
      </c>
      <c r="G1692" s="50"/>
    </row>
    <row r="1693" spans="1:7" x14ac:dyDescent="0.25">
      <c r="A1693" s="42">
        <v>50201706</v>
      </c>
      <c r="B1693" s="43" t="str">
        <f t="shared" ca="1" si="30"/>
        <v>Café</v>
      </c>
      <c r="C1693" s="42" t="s">
        <v>47</v>
      </c>
      <c r="D1693" s="42">
        <v>45</v>
      </c>
      <c r="E1693" s="45">
        <v>1200</v>
      </c>
      <c r="F1693" s="46">
        <f t="shared" ca="1" si="31"/>
        <v>54000</v>
      </c>
      <c r="G1693" s="50"/>
    </row>
    <row r="1694" spans="1:7" ht="22.5" x14ac:dyDescent="0.25">
      <c r="A1694" s="42">
        <v>50161815</v>
      </c>
      <c r="B1694" s="43" t="str">
        <f t="shared" ca="1" si="30"/>
        <v>Goma de mascar</v>
      </c>
      <c r="C1694" s="42" t="s">
        <v>47</v>
      </c>
      <c r="D1694" s="42">
        <v>10</v>
      </c>
      <c r="E1694" s="45">
        <v>300</v>
      </c>
      <c r="F1694" s="46">
        <f t="shared" ca="1" si="31"/>
        <v>3000</v>
      </c>
      <c r="G1694" s="50"/>
    </row>
    <row r="1695" spans="1:7" ht="22.5" x14ac:dyDescent="0.25">
      <c r="A1695" s="42">
        <v>50161815</v>
      </c>
      <c r="B1695" s="43" t="str">
        <f t="shared" ca="1" si="30"/>
        <v>Goma de mascar</v>
      </c>
      <c r="C1695" s="42" t="s">
        <v>47</v>
      </c>
      <c r="D1695" s="42">
        <v>10</v>
      </c>
      <c r="E1695" s="45">
        <v>70</v>
      </c>
      <c r="F1695" s="46">
        <f t="shared" ca="1" si="31"/>
        <v>700</v>
      </c>
      <c r="G1695" s="50"/>
    </row>
    <row r="1696" spans="1:7" ht="22.5" x14ac:dyDescent="0.25">
      <c r="A1696" s="42">
        <v>50161815</v>
      </c>
      <c r="B1696" s="43" t="str">
        <f t="shared" ca="1" si="30"/>
        <v>Goma de mascar</v>
      </c>
      <c r="C1696" s="42" t="s">
        <v>47</v>
      </c>
      <c r="D1696" s="42">
        <v>10</v>
      </c>
      <c r="E1696" s="45">
        <v>95</v>
      </c>
      <c r="F1696" s="46">
        <f t="shared" ca="1" si="31"/>
        <v>950</v>
      </c>
      <c r="G1696" s="50"/>
    </row>
    <row r="1697" spans="1:7" ht="22.5" x14ac:dyDescent="0.25">
      <c r="A1697" s="42">
        <v>50161815</v>
      </c>
      <c r="B1697" s="43" t="str">
        <f t="shared" ca="1" si="30"/>
        <v>Goma de mascar</v>
      </c>
      <c r="C1697" s="42" t="s">
        <v>47</v>
      </c>
      <c r="D1697" s="42">
        <v>10</v>
      </c>
      <c r="E1697" s="45">
        <v>95</v>
      </c>
      <c r="F1697" s="46">
        <f t="shared" ca="1" si="31"/>
        <v>950</v>
      </c>
      <c r="G1697" s="50"/>
    </row>
    <row r="1698" spans="1:7" ht="22.5" x14ac:dyDescent="0.25">
      <c r="A1698" s="42">
        <v>50161815</v>
      </c>
      <c r="B1698" s="43" t="str">
        <f t="shared" ca="1" si="30"/>
        <v>Goma de mascar</v>
      </c>
      <c r="C1698" s="42" t="s">
        <v>47</v>
      </c>
      <c r="D1698" s="42">
        <v>10</v>
      </c>
      <c r="E1698" s="45">
        <v>95</v>
      </c>
      <c r="F1698" s="46">
        <f t="shared" ca="1" si="31"/>
        <v>950</v>
      </c>
      <c r="G1698" s="50"/>
    </row>
    <row r="1699" spans="1:7" x14ac:dyDescent="0.25">
      <c r="A1699" s="42">
        <v>50201711</v>
      </c>
      <c r="B1699" s="43" t="str">
        <f t="shared" ca="1" si="30"/>
        <v>Té instantáneo</v>
      </c>
      <c r="C1699" s="42" t="s">
        <v>46</v>
      </c>
      <c r="D1699" s="42">
        <v>30</v>
      </c>
      <c r="E1699" s="45">
        <v>235</v>
      </c>
      <c r="F1699" s="46">
        <f t="shared" ca="1" si="31"/>
        <v>7050</v>
      </c>
      <c r="G1699" s="50"/>
    </row>
    <row r="1700" spans="1:7" x14ac:dyDescent="0.25">
      <c r="A1700" s="42">
        <v>50201711</v>
      </c>
      <c r="B1700" s="43" t="str">
        <f t="shared" ca="1" si="30"/>
        <v>Té instantáneo</v>
      </c>
      <c r="C1700" s="42" t="s">
        <v>46</v>
      </c>
      <c r="D1700" s="42">
        <v>18</v>
      </c>
      <c r="E1700" s="45">
        <v>300</v>
      </c>
      <c r="F1700" s="46">
        <f t="shared" ca="1" si="31"/>
        <v>5400</v>
      </c>
      <c r="G1700" s="50"/>
    </row>
    <row r="1701" spans="1:7" x14ac:dyDescent="0.25">
      <c r="A1701" s="42">
        <v>50201711</v>
      </c>
      <c r="B1701" s="43" t="str">
        <f t="shared" ca="1" si="30"/>
        <v>Té instantáneo</v>
      </c>
      <c r="C1701" s="42" t="s">
        <v>46</v>
      </c>
      <c r="D1701" s="42">
        <v>2</v>
      </c>
      <c r="E1701" s="45">
        <v>300</v>
      </c>
      <c r="F1701" s="46">
        <f t="shared" ca="1" si="31"/>
        <v>600</v>
      </c>
      <c r="G1701" s="50"/>
    </row>
    <row r="1702" spans="1:7" x14ac:dyDescent="0.25">
      <c r="A1702" s="50"/>
      <c r="B1702" s="50"/>
      <c r="C1702" s="50"/>
      <c r="D1702" s="50"/>
      <c r="E1702" s="54" t="s">
        <v>49</v>
      </c>
      <c r="F1702" s="49">
        <f ca="1">SUM(Table3120[MONTO TOTAL ESTIMADO])</f>
        <v>99500</v>
      </c>
      <c r="G1702" s="50"/>
    </row>
    <row r="1703" spans="1:7" ht="15.75" thickBot="1" x14ac:dyDescent="0.3">
      <c r="A1703" s="63"/>
      <c r="B1703" s="63"/>
      <c r="C1703" s="63"/>
      <c r="D1703" s="63"/>
      <c r="E1703" s="63"/>
      <c r="F1703" s="63"/>
      <c r="G1703" s="63"/>
    </row>
    <row r="1704" spans="1:7" ht="34.5" thickBot="1" x14ac:dyDescent="0.3">
      <c r="A1704" s="31" t="s">
        <v>18</v>
      </c>
      <c r="B1704" s="31" t="s">
        <v>19</v>
      </c>
      <c r="C1704" s="31" t="s">
        <v>20</v>
      </c>
      <c r="D1704" s="31" t="s">
        <v>21</v>
      </c>
      <c r="E1704" s="31" t="s">
        <v>22</v>
      </c>
      <c r="F1704" s="31" t="s">
        <v>23</v>
      </c>
      <c r="G1704" s="50"/>
    </row>
    <row r="1705" spans="1:7" ht="15.75" thickBot="1" x14ac:dyDescent="0.3">
      <c r="A1705" s="33" t="s">
        <v>54</v>
      </c>
      <c r="B1705" s="33" t="s">
        <v>55</v>
      </c>
      <c r="C1705" s="33" t="s">
        <v>26</v>
      </c>
      <c r="D1705" s="33" t="s">
        <v>52</v>
      </c>
      <c r="E1705" s="33" t="s">
        <v>56</v>
      </c>
      <c r="F1705" s="33"/>
      <c r="G1705" s="50"/>
    </row>
    <row r="1706" spans="1:7" ht="15.75" thickBot="1" x14ac:dyDescent="0.3">
      <c r="A1706" s="34" t="s">
        <v>28</v>
      </c>
      <c r="B1706" s="35" t="s">
        <v>29</v>
      </c>
      <c r="C1706" s="51">
        <v>45174</v>
      </c>
      <c r="D1706" s="34" t="s">
        <v>30</v>
      </c>
      <c r="E1706" s="35" t="s">
        <v>31</v>
      </c>
      <c r="F1706" s="33" t="s">
        <v>32</v>
      </c>
      <c r="G1706" s="50"/>
    </row>
    <row r="1707" spans="1:7" ht="15.75" thickBot="1" x14ac:dyDescent="0.3">
      <c r="A1707" s="39"/>
      <c r="B1707" s="35" t="s">
        <v>33</v>
      </c>
      <c r="C1707" s="52">
        <f>IF(C1706="","",IF(AND(MONTH(C1706)&gt;=1,MONTH(C1706)&lt;=3),1,IF(AND(MONTH(C1706)&gt;=4,MONTH(C1706)&lt;=6),2,IF(AND(MONTH(C1706)&gt;=7,MONTH(C1706)&lt;=9),3,4))))</f>
        <v>3</v>
      </c>
      <c r="D1707" s="39"/>
      <c r="E1707" s="35" t="s">
        <v>34</v>
      </c>
      <c r="F1707" s="33" t="s">
        <v>35</v>
      </c>
      <c r="G1707" s="50"/>
    </row>
    <row r="1708" spans="1:7" ht="15.75" thickBot="1" x14ac:dyDescent="0.3">
      <c r="A1708" s="39"/>
      <c r="B1708" s="35" t="s">
        <v>36</v>
      </c>
      <c r="C1708" s="51">
        <v>45183</v>
      </c>
      <c r="D1708" s="39"/>
      <c r="E1708" s="35" t="s">
        <v>37</v>
      </c>
      <c r="F1708" s="33" t="s">
        <v>35</v>
      </c>
      <c r="G1708" s="50"/>
    </row>
    <row r="1709" spans="1:7" ht="15.75" thickBot="1" x14ac:dyDescent="0.3">
      <c r="A1709" s="39"/>
      <c r="B1709" s="35" t="s">
        <v>33</v>
      </c>
      <c r="C1709" s="52">
        <f>IF(C1708="","",IF(AND(MONTH(C1708)&gt;=1,MONTH(C1708)&lt;=3),1,IF(AND(MONTH(C1708)&gt;=4,MONTH(C1708)&lt;=6),2,IF(AND(MONTH(C1708)&gt;=7,MONTH(C1708)&lt;=9),3,4))))</f>
        <v>3</v>
      </c>
      <c r="D1709" s="39"/>
      <c r="E1709" s="35" t="s">
        <v>38</v>
      </c>
      <c r="F1709" s="33" t="s">
        <v>35</v>
      </c>
      <c r="G1709" s="50"/>
    </row>
    <row r="1710" spans="1:7" ht="15.75" thickBot="1" x14ac:dyDescent="0.3">
      <c r="A1710" s="50"/>
      <c r="B1710" s="50"/>
      <c r="C1710" s="50"/>
      <c r="D1710" s="50"/>
      <c r="E1710" s="50"/>
      <c r="F1710" s="50"/>
      <c r="G1710" s="50"/>
    </row>
    <row r="1711" spans="1:7" ht="15.75" thickBot="1" x14ac:dyDescent="0.3">
      <c r="A1711" s="41" t="s">
        <v>39</v>
      </c>
      <c r="B1711" s="41" t="s">
        <v>40</v>
      </c>
      <c r="C1711" s="41" t="s">
        <v>41</v>
      </c>
      <c r="D1711" s="41" t="s">
        <v>42</v>
      </c>
      <c r="E1711" s="41" t="s">
        <v>43</v>
      </c>
      <c r="F1711" s="41" t="s">
        <v>44</v>
      </c>
      <c r="G1711" s="50"/>
    </row>
    <row r="1712" spans="1:7" x14ac:dyDescent="0.25">
      <c r="A1712" s="42">
        <v>50202301</v>
      </c>
      <c r="B1712" s="43" t="str">
        <f ca="1">IFERROR(INDEX(UNSPSCDes,MATCH(INDIRECT(ADDRESS(ROW(),COLUMN()-1,4)),UNSPSCCode,0)),"")</f>
        <v>Agua</v>
      </c>
      <c r="C1712" s="42" t="s">
        <v>47</v>
      </c>
      <c r="D1712" s="42">
        <v>175</v>
      </c>
      <c r="E1712" s="45">
        <v>140</v>
      </c>
      <c r="F1712" s="46">
        <f ca="1">INDIRECT(ADDRESS(ROW(),COLUMN()-2,4))*INDIRECT(ADDRESS(ROW(),COLUMN()-1,4))</f>
        <v>24500</v>
      </c>
      <c r="G1712" s="50"/>
    </row>
    <row r="1713" spans="1:7" x14ac:dyDescent="0.25">
      <c r="A1713" s="42">
        <v>50202301</v>
      </c>
      <c r="B1713" s="43" t="str">
        <f ca="1">IFERROR(INDEX(UNSPSCDes,MATCH(INDIRECT(ADDRESS(ROW(),COLUMN()-1,4)),UNSPSCCode,0)),"")</f>
        <v>Agua</v>
      </c>
      <c r="C1713" s="42" t="s">
        <v>46</v>
      </c>
      <c r="D1713" s="42">
        <v>1200</v>
      </c>
      <c r="E1713" s="45">
        <v>70</v>
      </c>
      <c r="F1713" s="46">
        <f ca="1">INDIRECT(ADDRESS(ROW(),COLUMN()-2,4))*INDIRECT(ADDRESS(ROW(),COLUMN()-1,4))</f>
        <v>84000</v>
      </c>
      <c r="G1713" s="50"/>
    </row>
    <row r="1714" spans="1:7" x14ac:dyDescent="0.25">
      <c r="A1714" s="50"/>
      <c r="B1714" s="50"/>
      <c r="C1714" s="50"/>
      <c r="D1714" s="50"/>
      <c r="E1714" s="54" t="s">
        <v>49</v>
      </c>
      <c r="F1714" s="49">
        <f ca="1">SUM(Table3121[MONTO TOTAL ESTIMADO])</f>
        <v>108500</v>
      </c>
      <c r="G1714" s="50"/>
    </row>
    <row r="1715" spans="1:7" ht="15.75" thickBot="1" x14ac:dyDescent="0.3">
      <c r="A1715" s="63"/>
      <c r="B1715" s="63"/>
      <c r="C1715" s="63"/>
      <c r="D1715" s="63"/>
      <c r="E1715" s="63"/>
      <c r="F1715" s="63"/>
      <c r="G1715" s="63"/>
    </row>
    <row r="1716" spans="1:7" ht="34.5" thickBot="1" x14ac:dyDescent="0.3">
      <c r="A1716" s="31" t="s">
        <v>18</v>
      </c>
      <c r="B1716" s="31" t="s">
        <v>19</v>
      </c>
      <c r="C1716" s="31" t="s">
        <v>20</v>
      </c>
      <c r="D1716" s="31" t="s">
        <v>21</v>
      </c>
      <c r="E1716" s="31" t="s">
        <v>22</v>
      </c>
      <c r="F1716" s="31" t="s">
        <v>23</v>
      </c>
      <c r="G1716" s="50"/>
    </row>
    <row r="1717" spans="1:7" ht="15.75" thickBot="1" x14ac:dyDescent="0.3">
      <c r="A1717" s="33" t="s">
        <v>57</v>
      </c>
      <c r="B1717" s="33" t="s">
        <v>58</v>
      </c>
      <c r="C1717" s="33" t="s">
        <v>26</v>
      </c>
      <c r="D1717" s="33" t="s">
        <v>52</v>
      </c>
      <c r="E1717" s="33" t="s">
        <v>53</v>
      </c>
      <c r="F1717" s="33"/>
      <c r="G1717" s="50"/>
    </row>
    <row r="1718" spans="1:7" ht="15.75" thickBot="1" x14ac:dyDescent="0.3">
      <c r="A1718" s="34" t="s">
        <v>28</v>
      </c>
      <c r="B1718" s="35" t="s">
        <v>29</v>
      </c>
      <c r="C1718" s="51">
        <v>45176</v>
      </c>
      <c r="D1718" s="34" t="s">
        <v>30</v>
      </c>
      <c r="E1718" s="35" t="s">
        <v>31</v>
      </c>
      <c r="F1718" s="33" t="s">
        <v>32</v>
      </c>
      <c r="G1718" s="50"/>
    </row>
    <row r="1719" spans="1:7" ht="15.75" thickBot="1" x14ac:dyDescent="0.3">
      <c r="A1719" s="39"/>
      <c r="B1719" s="35" t="s">
        <v>33</v>
      </c>
      <c r="C1719" s="52">
        <f>IF(C1718="","",IF(AND(MONTH(C1718)&gt;=1,MONTH(C1718)&lt;=3),1,IF(AND(MONTH(C1718)&gt;=4,MONTH(C1718)&lt;=6),2,IF(AND(MONTH(C1718)&gt;=7,MONTH(C1718)&lt;=9),3,4))))</f>
        <v>3</v>
      </c>
      <c r="D1719" s="39"/>
      <c r="E1719" s="35" t="s">
        <v>34</v>
      </c>
      <c r="F1719" s="33" t="s">
        <v>35</v>
      </c>
      <c r="G1719" s="50"/>
    </row>
    <row r="1720" spans="1:7" ht="15.75" thickBot="1" x14ac:dyDescent="0.3">
      <c r="A1720" s="39"/>
      <c r="B1720" s="35" t="s">
        <v>36</v>
      </c>
      <c r="C1720" s="51">
        <v>45184</v>
      </c>
      <c r="D1720" s="39"/>
      <c r="E1720" s="35" t="s">
        <v>37</v>
      </c>
      <c r="F1720" s="33" t="s">
        <v>35</v>
      </c>
      <c r="G1720" s="50"/>
    </row>
    <row r="1721" spans="1:7" ht="15.75" thickBot="1" x14ac:dyDescent="0.3">
      <c r="A1721" s="39"/>
      <c r="B1721" s="35" t="s">
        <v>33</v>
      </c>
      <c r="C1721" s="52">
        <f>IF(C1720="","",IF(AND(MONTH(C1720)&gt;=1,MONTH(C1720)&lt;=3),1,IF(AND(MONTH(C1720)&gt;=4,MONTH(C1720)&lt;=6),2,IF(AND(MONTH(C1720)&gt;=7,MONTH(C1720)&lt;=9),3,4))))</f>
        <v>3</v>
      </c>
      <c r="D1721" s="39"/>
      <c r="E1721" s="35" t="s">
        <v>38</v>
      </c>
      <c r="F1721" s="33" t="s">
        <v>35</v>
      </c>
      <c r="G1721" s="50"/>
    </row>
    <row r="1722" spans="1:7" ht="15.75" thickBot="1" x14ac:dyDescent="0.3">
      <c r="A1722" s="50"/>
      <c r="B1722" s="50"/>
      <c r="C1722" s="50"/>
      <c r="D1722" s="50"/>
      <c r="E1722" s="50"/>
      <c r="F1722" s="50"/>
      <c r="G1722" s="50"/>
    </row>
    <row r="1723" spans="1:7" ht="15.75" thickBot="1" x14ac:dyDescent="0.3">
      <c r="A1723" s="41" t="s">
        <v>39</v>
      </c>
      <c r="B1723" s="41" t="s">
        <v>40</v>
      </c>
      <c r="C1723" s="41" t="s">
        <v>41</v>
      </c>
      <c r="D1723" s="41" t="s">
        <v>42</v>
      </c>
      <c r="E1723" s="41" t="s">
        <v>43</v>
      </c>
      <c r="F1723" s="41" t="s">
        <v>44</v>
      </c>
      <c r="G1723" s="50"/>
    </row>
    <row r="1724" spans="1:7" ht="22.5" x14ac:dyDescent="0.25">
      <c r="A1724" s="42">
        <v>47131810</v>
      </c>
      <c r="B1724" s="43" t="str">
        <f t="shared" ref="B1724:B1742" ca="1" si="32">IFERROR(INDEX(UNSPSCDes,MATCH(INDIRECT(ADDRESS(ROW(),COLUMN()-1,4)),UNSPSCCode,0)),"")</f>
        <v>Productos para el lavaplatos</v>
      </c>
      <c r="C1724" s="42" t="s">
        <v>46</v>
      </c>
      <c r="D1724" s="42">
        <v>48</v>
      </c>
      <c r="E1724" s="45">
        <v>20</v>
      </c>
      <c r="F1724" s="46">
        <f t="shared" ref="F1724:F1742" ca="1" si="33">INDIRECT(ADDRESS(ROW(),COLUMN()-2,4))*INDIRECT(ADDRESS(ROW(),COLUMN()-1,4))</f>
        <v>960</v>
      </c>
      <c r="G1724" s="50"/>
    </row>
    <row r="1725" spans="1:7" ht="22.5" x14ac:dyDescent="0.25">
      <c r="A1725" s="42">
        <v>47131810</v>
      </c>
      <c r="B1725" s="43" t="str">
        <f t="shared" ca="1" si="32"/>
        <v>Productos para el lavaplatos</v>
      </c>
      <c r="C1725" s="42" t="s">
        <v>46</v>
      </c>
      <c r="D1725" s="42">
        <v>36</v>
      </c>
      <c r="E1725" s="45">
        <v>20</v>
      </c>
      <c r="F1725" s="46">
        <f t="shared" ca="1" si="33"/>
        <v>720</v>
      </c>
      <c r="G1725" s="50"/>
    </row>
    <row r="1726" spans="1:7" ht="22.5" x14ac:dyDescent="0.25">
      <c r="A1726" s="42">
        <v>47131602</v>
      </c>
      <c r="B1726" s="43" t="str">
        <f t="shared" ca="1" si="32"/>
        <v>Almohadillas para restregar</v>
      </c>
      <c r="C1726" s="42" t="s">
        <v>46</v>
      </c>
      <c r="D1726" s="42">
        <v>36</v>
      </c>
      <c r="E1726" s="45">
        <v>20</v>
      </c>
      <c r="F1726" s="46">
        <f t="shared" ca="1" si="33"/>
        <v>720</v>
      </c>
      <c r="G1726" s="50"/>
    </row>
    <row r="1727" spans="1:7" ht="22.5" x14ac:dyDescent="0.25">
      <c r="A1727" s="42">
        <v>47131605</v>
      </c>
      <c r="B1727" s="43" t="str">
        <f t="shared" ca="1" si="32"/>
        <v>Cepillos de limpieza</v>
      </c>
      <c r="C1727" s="42" t="s">
        <v>46</v>
      </c>
      <c r="D1727" s="42">
        <v>3</v>
      </c>
      <c r="E1727" s="45">
        <v>250</v>
      </c>
      <c r="F1727" s="46">
        <f t="shared" ca="1" si="33"/>
        <v>750</v>
      </c>
      <c r="G1727" s="50"/>
    </row>
    <row r="1728" spans="1:7" ht="33.75" x14ac:dyDescent="0.25">
      <c r="A1728" s="42">
        <v>47131803</v>
      </c>
      <c r="B1728" s="43" t="str">
        <f t="shared" ca="1" si="32"/>
        <v>Desinfectantes para uso doméstico</v>
      </c>
      <c r="C1728" s="42" t="s">
        <v>45</v>
      </c>
      <c r="D1728" s="42">
        <v>6</v>
      </c>
      <c r="E1728" s="45">
        <v>1100</v>
      </c>
      <c r="F1728" s="46">
        <f t="shared" ca="1" si="33"/>
        <v>6600</v>
      </c>
      <c r="G1728" s="50"/>
    </row>
    <row r="1729" spans="1:7" ht="33.75" x14ac:dyDescent="0.25">
      <c r="A1729" s="42">
        <v>47131803</v>
      </c>
      <c r="B1729" s="43" t="str">
        <f t="shared" ca="1" si="32"/>
        <v>Desinfectantes para uso doméstico</v>
      </c>
      <c r="C1729" s="42" t="s">
        <v>45</v>
      </c>
      <c r="D1729" s="42">
        <v>8</v>
      </c>
      <c r="E1729" s="45">
        <v>1100</v>
      </c>
      <c r="F1729" s="46">
        <f t="shared" ca="1" si="33"/>
        <v>8800</v>
      </c>
      <c r="G1729" s="50"/>
    </row>
    <row r="1730" spans="1:7" x14ac:dyDescent="0.25">
      <c r="A1730" s="42">
        <v>47131604</v>
      </c>
      <c r="B1730" s="43" t="str">
        <f t="shared" ca="1" si="32"/>
        <v>Escobas</v>
      </c>
      <c r="C1730" s="42" t="s">
        <v>46</v>
      </c>
      <c r="D1730" s="42">
        <v>10</v>
      </c>
      <c r="E1730" s="45">
        <v>185</v>
      </c>
      <c r="F1730" s="46">
        <f t="shared" ca="1" si="33"/>
        <v>1850</v>
      </c>
      <c r="G1730" s="50"/>
    </row>
    <row r="1731" spans="1:7" ht="33.75" x14ac:dyDescent="0.25">
      <c r="A1731" s="42">
        <v>47131803</v>
      </c>
      <c r="B1731" s="43" t="str">
        <f t="shared" ca="1" si="32"/>
        <v>Desinfectantes para uso doméstico</v>
      </c>
      <c r="C1731" s="42" t="s">
        <v>46</v>
      </c>
      <c r="D1731" s="42">
        <v>5</v>
      </c>
      <c r="E1731" s="45">
        <v>248</v>
      </c>
      <c r="F1731" s="46">
        <f t="shared" ca="1" si="33"/>
        <v>1240</v>
      </c>
      <c r="G1731" s="50"/>
    </row>
    <row r="1732" spans="1:7" ht="22.5" x14ac:dyDescent="0.25">
      <c r="A1732" s="42">
        <v>47121701</v>
      </c>
      <c r="B1732" s="43" t="str">
        <f t="shared" ca="1" si="32"/>
        <v>Bolsas de basura</v>
      </c>
      <c r="C1732" s="42" t="s">
        <v>47</v>
      </c>
      <c r="D1732" s="42">
        <v>20</v>
      </c>
      <c r="E1732" s="45">
        <v>496</v>
      </c>
      <c r="F1732" s="46">
        <f t="shared" ca="1" si="33"/>
        <v>9920</v>
      </c>
      <c r="G1732" s="50"/>
    </row>
    <row r="1733" spans="1:7" ht="22.5" x14ac:dyDescent="0.25">
      <c r="A1733" s="42">
        <v>47121701</v>
      </c>
      <c r="B1733" s="43" t="str">
        <f t="shared" ca="1" si="32"/>
        <v>Bolsas de basura</v>
      </c>
      <c r="C1733" s="42" t="s">
        <v>47</v>
      </c>
      <c r="D1733" s="42">
        <v>12</v>
      </c>
      <c r="E1733" s="45">
        <v>130</v>
      </c>
      <c r="F1733" s="46">
        <f t="shared" ca="1" si="33"/>
        <v>1560</v>
      </c>
      <c r="G1733" s="50"/>
    </row>
    <row r="1734" spans="1:7" ht="22.5" x14ac:dyDescent="0.25">
      <c r="A1734" s="42">
        <v>42132205</v>
      </c>
      <c r="B1734" s="43" t="str">
        <f t="shared" ca="1" si="32"/>
        <v>Guantes de cirugía</v>
      </c>
      <c r="C1734" s="42" t="s">
        <v>45</v>
      </c>
      <c r="D1734" s="42">
        <v>20</v>
      </c>
      <c r="E1734" s="45">
        <v>260</v>
      </c>
      <c r="F1734" s="46">
        <f t="shared" ca="1" si="33"/>
        <v>5200</v>
      </c>
      <c r="G1734" s="50"/>
    </row>
    <row r="1735" spans="1:7" ht="22.5" x14ac:dyDescent="0.25">
      <c r="A1735" s="42">
        <v>42132205</v>
      </c>
      <c r="B1735" s="43" t="str">
        <f t="shared" ca="1" si="32"/>
        <v>Guantes de cirugía</v>
      </c>
      <c r="C1735" s="42" t="s">
        <v>46</v>
      </c>
      <c r="D1735" s="42">
        <v>10</v>
      </c>
      <c r="E1735" s="45">
        <v>55</v>
      </c>
      <c r="F1735" s="46">
        <f t="shared" ca="1" si="33"/>
        <v>550</v>
      </c>
      <c r="G1735" s="50"/>
    </row>
    <row r="1736" spans="1:7" ht="22.5" x14ac:dyDescent="0.25">
      <c r="A1736" s="42">
        <v>53131626</v>
      </c>
      <c r="B1736" s="43" t="str">
        <f t="shared" ca="1" si="32"/>
        <v>Desinfectante de manos</v>
      </c>
      <c r="C1736" s="42" t="s">
        <v>45</v>
      </c>
      <c r="D1736" s="42">
        <v>1</v>
      </c>
      <c r="E1736" s="45">
        <v>700</v>
      </c>
      <c r="F1736" s="46">
        <f t="shared" ca="1" si="33"/>
        <v>700</v>
      </c>
      <c r="G1736" s="50"/>
    </row>
    <row r="1737" spans="1:7" ht="33.75" x14ac:dyDescent="0.25">
      <c r="A1737" s="42">
        <v>47131824</v>
      </c>
      <c r="B1737" s="43" t="str">
        <f t="shared" ca="1" si="32"/>
        <v>Limpiadores de vidrio o ventanas</v>
      </c>
      <c r="C1737" s="42" t="s">
        <v>59</v>
      </c>
      <c r="D1737" s="42">
        <v>2</v>
      </c>
      <c r="E1737" s="45">
        <v>155</v>
      </c>
      <c r="F1737" s="46">
        <f t="shared" ca="1" si="33"/>
        <v>310</v>
      </c>
      <c r="G1737" s="50"/>
    </row>
    <row r="1738" spans="1:7" ht="33.75" x14ac:dyDescent="0.25">
      <c r="A1738" s="42">
        <v>47131803</v>
      </c>
      <c r="B1738" s="43" t="str">
        <f t="shared" ca="1" si="32"/>
        <v>Desinfectantes para uso doméstico</v>
      </c>
      <c r="C1738" s="42" t="s">
        <v>46</v>
      </c>
      <c r="D1738" s="42">
        <v>12</v>
      </c>
      <c r="E1738" s="45">
        <v>400</v>
      </c>
      <c r="F1738" s="46">
        <f t="shared" ca="1" si="33"/>
        <v>4800</v>
      </c>
      <c r="G1738" s="50"/>
    </row>
    <row r="1739" spans="1:7" ht="22.5" x14ac:dyDescent="0.25">
      <c r="A1739" s="42">
        <v>47131611</v>
      </c>
      <c r="B1739" s="43" t="str">
        <f t="shared" ca="1" si="32"/>
        <v>Recogedor de basura</v>
      </c>
      <c r="C1739" s="42" t="s">
        <v>46</v>
      </c>
      <c r="D1739" s="42">
        <v>2</v>
      </c>
      <c r="E1739" s="45">
        <v>112</v>
      </c>
      <c r="F1739" s="46">
        <f t="shared" ca="1" si="33"/>
        <v>224</v>
      </c>
      <c r="G1739" s="50"/>
    </row>
    <row r="1740" spans="1:7" ht="22.5" x14ac:dyDescent="0.25">
      <c r="A1740" s="42">
        <v>53131626</v>
      </c>
      <c r="B1740" s="43" t="str">
        <f t="shared" ca="1" si="32"/>
        <v>Desinfectante de manos</v>
      </c>
      <c r="C1740" s="42" t="s">
        <v>46</v>
      </c>
      <c r="D1740" s="42">
        <v>30</v>
      </c>
      <c r="E1740" s="45">
        <v>120</v>
      </c>
      <c r="F1740" s="46">
        <f t="shared" ca="1" si="33"/>
        <v>3600</v>
      </c>
      <c r="G1740" s="50"/>
    </row>
    <row r="1741" spans="1:7" ht="56.25" x14ac:dyDescent="0.25">
      <c r="A1741" s="42">
        <v>47121702</v>
      </c>
      <c r="B1741" s="43" t="str">
        <f t="shared" ca="1" si="32"/>
        <v>Contenedores de desperdicios o revestimientos rígidos</v>
      </c>
      <c r="C1741" s="42" t="s">
        <v>46</v>
      </c>
      <c r="D1741" s="42">
        <v>10</v>
      </c>
      <c r="E1741" s="45">
        <v>450</v>
      </c>
      <c r="F1741" s="46">
        <f t="shared" ca="1" si="33"/>
        <v>4500</v>
      </c>
      <c r="G1741" s="50"/>
    </row>
    <row r="1742" spans="1:7" ht="45" x14ac:dyDescent="0.25">
      <c r="A1742" s="42">
        <v>52151503</v>
      </c>
      <c r="B1742" s="43" t="str">
        <f t="shared" ca="1" si="32"/>
        <v>Cubiertos desechables para uso doméstico</v>
      </c>
      <c r="C1742" s="42" t="s">
        <v>45</v>
      </c>
      <c r="D1742" s="42">
        <v>4</v>
      </c>
      <c r="E1742" s="45">
        <v>540</v>
      </c>
      <c r="F1742" s="46">
        <f t="shared" ca="1" si="33"/>
        <v>2160</v>
      </c>
      <c r="G1742" s="50"/>
    </row>
    <row r="1743" spans="1:7" x14ac:dyDescent="0.25">
      <c r="A1743" s="50"/>
      <c r="B1743" s="50"/>
      <c r="C1743" s="50"/>
      <c r="D1743" s="50"/>
      <c r="E1743" s="54" t="s">
        <v>49</v>
      </c>
      <c r="F1743" s="49">
        <f ca="1">SUM(Table3122[MONTO TOTAL ESTIMADO])</f>
        <v>55164</v>
      </c>
      <c r="G1743" s="50"/>
    </row>
    <row r="1744" spans="1:7" ht="15.75" thickBot="1" x14ac:dyDescent="0.3">
      <c r="A1744" s="63"/>
      <c r="B1744" s="63"/>
      <c r="C1744" s="63"/>
      <c r="D1744" s="63"/>
      <c r="E1744" s="63"/>
      <c r="F1744" s="63"/>
      <c r="G1744" s="63"/>
    </row>
    <row r="1745" spans="1:7" ht="34.5" thickBot="1" x14ac:dyDescent="0.3">
      <c r="A1745" s="31" t="s">
        <v>18</v>
      </c>
      <c r="B1745" s="31" t="s">
        <v>19</v>
      </c>
      <c r="C1745" s="31" t="s">
        <v>20</v>
      </c>
      <c r="D1745" s="31" t="s">
        <v>21</v>
      </c>
      <c r="E1745" s="31" t="s">
        <v>22</v>
      </c>
      <c r="F1745" s="31" t="s">
        <v>23</v>
      </c>
      <c r="G1745" s="50"/>
    </row>
    <row r="1746" spans="1:7" ht="15.75" thickBot="1" x14ac:dyDescent="0.3">
      <c r="A1746" s="33" t="s">
        <v>60</v>
      </c>
      <c r="B1746" s="33" t="s">
        <v>61</v>
      </c>
      <c r="C1746" s="33" t="s">
        <v>26</v>
      </c>
      <c r="D1746" s="33" t="s">
        <v>27</v>
      </c>
      <c r="E1746" s="33" t="s">
        <v>62</v>
      </c>
      <c r="F1746" s="33"/>
      <c r="G1746" s="50"/>
    </row>
    <row r="1747" spans="1:7" ht="15.75" thickBot="1" x14ac:dyDescent="0.3">
      <c r="A1747" s="34" t="s">
        <v>28</v>
      </c>
      <c r="B1747" s="35" t="s">
        <v>29</v>
      </c>
      <c r="C1747" s="51">
        <v>45173</v>
      </c>
      <c r="D1747" s="34" t="s">
        <v>30</v>
      </c>
      <c r="E1747" s="35" t="s">
        <v>31</v>
      </c>
      <c r="F1747" s="33" t="s">
        <v>32</v>
      </c>
      <c r="G1747" s="50"/>
    </row>
    <row r="1748" spans="1:7" ht="15.75" thickBot="1" x14ac:dyDescent="0.3">
      <c r="A1748" s="39"/>
      <c r="B1748" s="35" t="s">
        <v>33</v>
      </c>
      <c r="C1748" s="52">
        <f>IF(C1747="","",IF(AND(MONTH(C1747)&gt;=1,MONTH(C1747)&lt;=3),1,IF(AND(MONTH(C1747)&gt;=4,MONTH(C1747)&lt;=6),2,IF(AND(MONTH(C1747)&gt;=7,MONTH(C1747)&lt;=9),3,4))))</f>
        <v>3</v>
      </c>
      <c r="D1748" s="39"/>
      <c r="E1748" s="35" t="s">
        <v>34</v>
      </c>
      <c r="F1748" s="33" t="s">
        <v>35</v>
      </c>
      <c r="G1748" s="50"/>
    </row>
    <row r="1749" spans="1:7" ht="15.75" thickBot="1" x14ac:dyDescent="0.3">
      <c r="A1749" s="39"/>
      <c r="B1749" s="35" t="s">
        <v>36</v>
      </c>
      <c r="C1749" s="51">
        <v>45181</v>
      </c>
      <c r="D1749" s="39"/>
      <c r="E1749" s="35" t="s">
        <v>37</v>
      </c>
      <c r="F1749" s="33" t="s">
        <v>35</v>
      </c>
      <c r="G1749" s="50"/>
    </row>
    <row r="1750" spans="1:7" ht="15.75" thickBot="1" x14ac:dyDescent="0.3">
      <c r="A1750" s="39"/>
      <c r="B1750" s="35" t="s">
        <v>33</v>
      </c>
      <c r="C1750" s="52">
        <f>IF(C1749="","",IF(AND(MONTH(C1749)&gt;=1,MONTH(C1749)&lt;=3),1,IF(AND(MONTH(C1749)&gt;=4,MONTH(C1749)&lt;=6),2,IF(AND(MONTH(C1749)&gt;=7,MONTH(C1749)&lt;=9),3,4))))</f>
        <v>3</v>
      </c>
      <c r="D1750" s="39"/>
      <c r="E1750" s="35" t="s">
        <v>38</v>
      </c>
      <c r="F1750" s="33" t="s">
        <v>35</v>
      </c>
      <c r="G1750" s="50"/>
    </row>
    <row r="1751" spans="1:7" ht="15.75" thickBot="1" x14ac:dyDescent="0.3">
      <c r="A1751" s="50"/>
      <c r="B1751" s="50"/>
      <c r="C1751" s="50"/>
      <c r="D1751" s="50"/>
      <c r="E1751" s="50"/>
      <c r="F1751" s="50"/>
      <c r="G1751" s="50"/>
    </row>
    <row r="1752" spans="1:7" ht="15.75" thickBot="1" x14ac:dyDescent="0.3">
      <c r="A1752" s="41" t="s">
        <v>39</v>
      </c>
      <c r="B1752" s="41" t="s">
        <v>40</v>
      </c>
      <c r="C1752" s="41" t="s">
        <v>41</v>
      </c>
      <c r="D1752" s="41" t="s">
        <v>42</v>
      </c>
      <c r="E1752" s="41" t="s">
        <v>43</v>
      </c>
      <c r="F1752" s="41" t="s">
        <v>44</v>
      </c>
      <c r="G1752" s="50"/>
    </row>
    <row r="1753" spans="1:7" ht="33.75" x14ac:dyDescent="0.25">
      <c r="A1753" s="42">
        <v>44103103</v>
      </c>
      <c r="B1753" s="43" t="str">
        <f t="shared" ref="B1753:B1778" ca="1" si="34">IFERROR(INDEX(UNSPSCDes,MATCH(INDIRECT(ADDRESS(ROW(),COLUMN()-1,4)),UNSPSCCode,0)),"")</f>
        <v>Tóner para impresoras o fax</v>
      </c>
      <c r="C1753" s="42" t="s">
        <v>46</v>
      </c>
      <c r="D1753" s="42">
        <v>15</v>
      </c>
      <c r="E1753" s="45">
        <v>1100</v>
      </c>
      <c r="F1753" s="46">
        <f t="shared" ref="F1753:F1778" ca="1" si="35">INDIRECT(ADDRESS(ROW(),COLUMN()-2,4))*INDIRECT(ADDRESS(ROW(),COLUMN()-1,4))</f>
        <v>16500</v>
      </c>
      <c r="G1753" s="50"/>
    </row>
    <row r="1754" spans="1:7" ht="33.75" x14ac:dyDescent="0.25">
      <c r="A1754" s="42">
        <v>44103103</v>
      </c>
      <c r="B1754" s="43" t="str">
        <f t="shared" ca="1" si="34"/>
        <v>Tóner para impresoras o fax</v>
      </c>
      <c r="C1754" s="42" t="s">
        <v>46</v>
      </c>
      <c r="D1754" s="42">
        <v>5</v>
      </c>
      <c r="E1754" s="45">
        <v>1100</v>
      </c>
      <c r="F1754" s="46">
        <f t="shared" ca="1" si="35"/>
        <v>5500</v>
      </c>
      <c r="G1754" s="50"/>
    </row>
    <row r="1755" spans="1:7" ht="33.75" x14ac:dyDescent="0.25">
      <c r="A1755" s="42">
        <v>44103103</v>
      </c>
      <c r="B1755" s="43" t="str">
        <f t="shared" ca="1" si="34"/>
        <v>Tóner para impresoras o fax</v>
      </c>
      <c r="C1755" s="42" t="s">
        <v>46</v>
      </c>
      <c r="D1755" s="42">
        <v>5</v>
      </c>
      <c r="E1755" s="45">
        <v>1100</v>
      </c>
      <c r="F1755" s="46">
        <f t="shared" ca="1" si="35"/>
        <v>5500</v>
      </c>
      <c r="G1755" s="50"/>
    </row>
    <row r="1756" spans="1:7" ht="33.75" x14ac:dyDescent="0.25">
      <c r="A1756" s="42">
        <v>44103103</v>
      </c>
      <c r="B1756" s="43" t="str">
        <f t="shared" ca="1" si="34"/>
        <v>Tóner para impresoras o fax</v>
      </c>
      <c r="C1756" s="42" t="s">
        <v>46</v>
      </c>
      <c r="D1756" s="42">
        <v>5</v>
      </c>
      <c r="E1756" s="45">
        <v>1100</v>
      </c>
      <c r="F1756" s="46">
        <f t="shared" ca="1" si="35"/>
        <v>5500</v>
      </c>
      <c r="G1756" s="50"/>
    </row>
    <row r="1757" spans="1:7" ht="33.75" x14ac:dyDescent="0.25">
      <c r="A1757" s="42">
        <v>44103103</v>
      </c>
      <c r="B1757" s="43" t="str">
        <f t="shared" ca="1" si="34"/>
        <v>Tóner para impresoras o fax</v>
      </c>
      <c r="C1757" s="42" t="s">
        <v>46</v>
      </c>
      <c r="D1757" s="42">
        <v>3</v>
      </c>
      <c r="E1757" s="45">
        <v>6300</v>
      </c>
      <c r="F1757" s="46">
        <f t="shared" ca="1" si="35"/>
        <v>18900</v>
      </c>
      <c r="G1757" s="50"/>
    </row>
    <row r="1758" spans="1:7" ht="33.75" x14ac:dyDescent="0.25">
      <c r="A1758" s="42">
        <v>44103103</v>
      </c>
      <c r="B1758" s="43" t="str">
        <f t="shared" ca="1" si="34"/>
        <v>Tóner para impresoras o fax</v>
      </c>
      <c r="C1758" s="42" t="s">
        <v>46</v>
      </c>
      <c r="D1758" s="42">
        <v>3</v>
      </c>
      <c r="E1758" s="45">
        <v>6300</v>
      </c>
      <c r="F1758" s="46">
        <f t="shared" ca="1" si="35"/>
        <v>18900</v>
      </c>
      <c r="G1758" s="50"/>
    </row>
    <row r="1759" spans="1:7" ht="33.75" x14ac:dyDescent="0.25">
      <c r="A1759" s="42">
        <v>44103103</v>
      </c>
      <c r="B1759" s="43" t="str">
        <f t="shared" ca="1" si="34"/>
        <v>Tóner para impresoras o fax</v>
      </c>
      <c r="C1759" s="42" t="s">
        <v>46</v>
      </c>
      <c r="D1759" s="42">
        <v>3</v>
      </c>
      <c r="E1759" s="45">
        <v>4470</v>
      </c>
      <c r="F1759" s="46">
        <f t="shared" ca="1" si="35"/>
        <v>13410</v>
      </c>
      <c r="G1759" s="50"/>
    </row>
    <row r="1760" spans="1:7" ht="33.75" x14ac:dyDescent="0.25">
      <c r="A1760" s="42">
        <v>44103103</v>
      </c>
      <c r="B1760" s="43" t="str">
        <f t="shared" ca="1" si="34"/>
        <v>Tóner para impresoras o fax</v>
      </c>
      <c r="C1760" s="42" t="s">
        <v>46</v>
      </c>
      <c r="D1760" s="42">
        <v>3</v>
      </c>
      <c r="E1760" s="45">
        <v>6300</v>
      </c>
      <c r="F1760" s="46">
        <f t="shared" ca="1" si="35"/>
        <v>18900</v>
      </c>
      <c r="G1760" s="50"/>
    </row>
    <row r="1761" spans="1:7" ht="33.75" x14ac:dyDescent="0.25">
      <c r="A1761" s="42">
        <v>44103103</v>
      </c>
      <c r="B1761" s="43" t="str">
        <f t="shared" ca="1" si="34"/>
        <v>Tóner para impresoras o fax</v>
      </c>
      <c r="C1761" s="42" t="s">
        <v>46</v>
      </c>
      <c r="D1761" s="42">
        <v>4</v>
      </c>
      <c r="E1761" s="45">
        <v>5885</v>
      </c>
      <c r="F1761" s="46">
        <f t="shared" ca="1" si="35"/>
        <v>23540</v>
      </c>
      <c r="G1761" s="50"/>
    </row>
    <row r="1762" spans="1:7" ht="33.75" x14ac:dyDescent="0.25">
      <c r="A1762" s="42">
        <v>44103103</v>
      </c>
      <c r="B1762" s="43" t="str">
        <f t="shared" ca="1" si="34"/>
        <v>Tóner para impresoras o fax</v>
      </c>
      <c r="C1762" s="42" t="s">
        <v>46</v>
      </c>
      <c r="D1762" s="42">
        <v>4</v>
      </c>
      <c r="E1762" s="45">
        <v>8200</v>
      </c>
      <c r="F1762" s="46">
        <f t="shared" ca="1" si="35"/>
        <v>32800</v>
      </c>
      <c r="G1762" s="50"/>
    </row>
    <row r="1763" spans="1:7" ht="33.75" x14ac:dyDescent="0.25">
      <c r="A1763" s="42">
        <v>44103103</v>
      </c>
      <c r="B1763" s="43" t="str">
        <f t="shared" ca="1" si="34"/>
        <v>Tóner para impresoras o fax</v>
      </c>
      <c r="C1763" s="42" t="s">
        <v>46</v>
      </c>
      <c r="D1763" s="42">
        <v>5</v>
      </c>
      <c r="E1763" s="45">
        <v>7700</v>
      </c>
      <c r="F1763" s="46">
        <f t="shared" ca="1" si="35"/>
        <v>38500</v>
      </c>
      <c r="G1763" s="50"/>
    </row>
    <row r="1764" spans="1:7" ht="33.75" x14ac:dyDescent="0.25">
      <c r="A1764" s="42">
        <v>44103103</v>
      </c>
      <c r="B1764" s="43" t="str">
        <f t="shared" ca="1" si="34"/>
        <v>Tóner para impresoras o fax</v>
      </c>
      <c r="C1764" s="42" t="s">
        <v>46</v>
      </c>
      <c r="D1764" s="42">
        <v>4</v>
      </c>
      <c r="E1764" s="45">
        <v>6500</v>
      </c>
      <c r="F1764" s="46">
        <f t="shared" ca="1" si="35"/>
        <v>26000</v>
      </c>
      <c r="G1764" s="50"/>
    </row>
    <row r="1765" spans="1:7" ht="33.75" x14ac:dyDescent="0.25">
      <c r="A1765" s="42">
        <v>44103103</v>
      </c>
      <c r="B1765" s="43" t="str">
        <f t="shared" ca="1" si="34"/>
        <v>Tóner para impresoras o fax</v>
      </c>
      <c r="C1765" s="42" t="s">
        <v>46</v>
      </c>
      <c r="D1765" s="42">
        <v>4</v>
      </c>
      <c r="E1765" s="45">
        <v>6700</v>
      </c>
      <c r="F1765" s="46">
        <f t="shared" ca="1" si="35"/>
        <v>26800</v>
      </c>
      <c r="G1765" s="50"/>
    </row>
    <row r="1766" spans="1:7" ht="33.75" x14ac:dyDescent="0.25">
      <c r="A1766" s="42">
        <v>44103103</v>
      </c>
      <c r="B1766" s="43" t="str">
        <f t="shared" ca="1" si="34"/>
        <v>Tóner para impresoras o fax</v>
      </c>
      <c r="C1766" s="42" t="s">
        <v>46</v>
      </c>
      <c r="D1766" s="42">
        <v>4</v>
      </c>
      <c r="E1766" s="45">
        <v>7500</v>
      </c>
      <c r="F1766" s="46">
        <f t="shared" ca="1" si="35"/>
        <v>30000</v>
      </c>
      <c r="G1766" s="50"/>
    </row>
    <row r="1767" spans="1:7" ht="33.75" x14ac:dyDescent="0.25">
      <c r="A1767" s="42">
        <v>44103103</v>
      </c>
      <c r="B1767" s="43" t="str">
        <f t="shared" ca="1" si="34"/>
        <v>Tóner para impresoras o fax</v>
      </c>
      <c r="C1767" s="42" t="s">
        <v>46</v>
      </c>
      <c r="D1767" s="42">
        <v>2</v>
      </c>
      <c r="E1767" s="45">
        <v>9350</v>
      </c>
      <c r="F1767" s="46">
        <f t="shared" ca="1" si="35"/>
        <v>18700</v>
      </c>
      <c r="G1767" s="50"/>
    </row>
    <row r="1768" spans="1:7" ht="33.75" x14ac:dyDescent="0.25">
      <c r="A1768" s="42">
        <v>44103103</v>
      </c>
      <c r="B1768" s="43" t="str">
        <f t="shared" ca="1" si="34"/>
        <v>Tóner para impresoras o fax</v>
      </c>
      <c r="C1768" s="42" t="s">
        <v>46</v>
      </c>
      <c r="D1768" s="42">
        <v>2</v>
      </c>
      <c r="E1768" s="45">
        <v>11950</v>
      </c>
      <c r="F1768" s="46">
        <f t="shared" ca="1" si="35"/>
        <v>23900</v>
      </c>
      <c r="G1768" s="50"/>
    </row>
    <row r="1769" spans="1:7" ht="33.75" x14ac:dyDescent="0.25">
      <c r="A1769" s="42">
        <v>44103103</v>
      </c>
      <c r="B1769" s="43" t="str">
        <f t="shared" ca="1" si="34"/>
        <v>Tóner para impresoras o fax</v>
      </c>
      <c r="C1769" s="42" t="s">
        <v>46</v>
      </c>
      <c r="D1769" s="42">
        <v>2</v>
      </c>
      <c r="E1769" s="45">
        <v>11950</v>
      </c>
      <c r="F1769" s="46">
        <f t="shared" ca="1" si="35"/>
        <v>23900</v>
      </c>
      <c r="G1769" s="50"/>
    </row>
    <row r="1770" spans="1:7" ht="33.75" x14ac:dyDescent="0.25">
      <c r="A1770" s="42">
        <v>44103103</v>
      </c>
      <c r="B1770" s="43" t="str">
        <f t="shared" ca="1" si="34"/>
        <v>Tóner para impresoras o fax</v>
      </c>
      <c r="C1770" s="42" t="s">
        <v>46</v>
      </c>
      <c r="D1770" s="42">
        <v>2</v>
      </c>
      <c r="E1770" s="45">
        <v>11950</v>
      </c>
      <c r="F1770" s="46">
        <f t="shared" ca="1" si="35"/>
        <v>23900</v>
      </c>
      <c r="G1770" s="50"/>
    </row>
    <row r="1771" spans="1:7" ht="33.75" x14ac:dyDescent="0.25">
      <c r="A1771" s="42">
        <v>44103103</v>
      </c>
      <c r="B1771" s="43" t="str">
        <f t="shared" ca="1" si="34"/>
        <v>Tóner para impresoras o fax</v>
      </c>
      <c r="C1771" s="42" t="s">
        <v>46</v>
      </c>
      <c r="D1771" s="42">
        <v>5</v>
      </c>
      <c r="E1771" s="45">
        <v>4500</v>
      </c>
      <c r="F1771" s="46">
        <f t="shared" ca="1" si="35"/>
        <v>22500</v>
      </c>
      <c r="G1771" s="50"/>
    </row>
    <row r="1772" spans="1:7" ht="33.75" x14ac:dyDescent="0.25">
      <c r="A1772" s="42">
        <v>44103103</v>
      </c>
      <c r="B1772" s="43" t="str">
        <f t="shared" ca="1" si="34"/>
        <v>Tóner para impresoras o fax</v>
      </c>
      <c r="C1772" s="42" t="s">
        <v>46</v>
      </c>
      <c r="D1772" s="42">
        <v>5</v>
      </c>
      <c r="E1772" s="45">
        <v>4500</v>
      </c>
      <c r="F1772" s="46">
        <f t="shared" ca="1" si="35"/>
        <v>22500</v>
      </c>
      <c r="G1772" s="50"/>
    </row>
    <row r="1773" spans="1:7" ht="33.75" x14ac:dyDescent="0.25">
      <c r="A1773" s="42">
        <v>44103103</v>
      </c>
      <c r="B1773" s="43" t="str">
        <f t="shared" ca="1" si="34"/>
        <v>Tóner para impresoras o fax</v>
      </c>
      <c r="C1773" s="42" t="s">
        <v>46</v>
      </c>
      <c r="D1773" s="42">
        <v>5</v>
      </c>
      <c r="E1773" s="45">
        <v>5100</v>
      </c>
      <c r="F1773" s="46">
        <f t="shared" ca="1" si="35"/>
        <v>25500</v>
      </c>
      <c r="G1773" s="50"/>
    </row>
    <row r="1774" spans="1:7" ht="33.75" x14ac:dyDescent="0.25">
      <c r="A1774" s="42">
        <v>44103103</v>
      </c>
      <c r="B1774" s="43" t="str">
        <f t="shared" ca="1" si="34"/>
        <v>Tóner para impresoras o fax</v>
      </c>
      <c r="C1774" s="42" t="s">
        <v>46</v>
      </c>
      <c r="D1774" s="42">
        <v>5</v>
      </c>
      <c r="E1774" s="45">
        <v>5100</v>
      </c>
      <c r="F1774" s="46">
        <f t="shared" ca="1" si="35"/>
        <v>25500</v>
      </c>
      <c r="G1774" s="50"/>
    </row>
    <row r="1775" spans="1:7" ht="33.75" x14ac:dyDescent="0.25">
      <c r="A1775" s="42">
        <v>44103103</v>
      </c>
      <c r="B1775" s="43" t="str">
        <f t="shared" ca="1" si="34"/>
        <v>Tóner para impresoras o fax</v>
      </c>
      <c r="C1775" s="42" t="s">
        <v>46</v>
      </c>
      <c r="D1775" s="42">
        <v>3</v>
      </c>
      <c r="E1775" s="45">
        <v>10872</v>
      </c>
      <c r="F1775" s="46">
        <f t="shared" ca="1" si="35"/>
        <v>32616</v>
      </c>
      <c r="G1775" s="50"/>
    </row>
    <row r="1776" spans="1:7" ht="33.75" x14ac:dyDescent="0.25">
      <c r="A1776" s="42">
        <v>44103103</v>
      </c>
      <c r="B1776" s="43" t="str">
        <f t="shared" ca="1" si="34"/>
        <v>Tóner para impresoras o fax</v>
      </c>
      <c r="C1776" s="42" t="s">
        <v>46</v>
      </c>
      <c r="D1776" s="42">
        <v>2</v>
      </c>
      <c r="E1776" s="45">
        <v>6300</v>
      </c>
      <c r="F1776" s="46">
        <f t="shared" ca="1" si="35"/>
        <v>12600</v>
      </c>
      <c r="G1776" s="50"/>
    </row>
    <row r="1777" spans="1:7" ht="33.75" x14ac:dyDescent="0.25">
      <c r="A1777" s="42">
        <v>44103103</v>
      </c>
      <c r="B1777" s="43" t="str">
        <f t="shared" ca="1" si="34"/>
        <v>Tóner para impresoras o fax</v>
      </c>
      <c r="C1777" s="42" t="s">
        <v>46</v>
      </c>
      <c r="D1777" s="42">
        <v>4</v>
      </c>
      <c r="E1777" s="45">
        <v>7000</v>
      </c>
      <c r="F1777" s="46">
        <f t="shared" ca="1" si="35"/>
        <v>28000</v>
      </c>
      <c r="G1777" s="50"/>
    </row>
    <row r="1778" spans="1:7" ht="33.75" x14ac:dyDescent="0.25">
      <c r="A1778" s="42">
        <v>44103103</v>
      </c>
      <c r="B1778" s="43" t="str">
        <f t="shared" ca="1" si="34"/>
        <v>Tóner para impresoras o fax</v>
      </c>
      <c r="C1778" s="42" t="s">
        <v>46</v>
      </c>
      <c r="D1778" s="42">
        <v>3</v>
      </c>
      <c r="E1778" s="45">
        <v>4750</v>
      </c>
      <c r="F1778" s="46">
        <f t="shared" ca="1" si="35"/>
        <v>14250</v>
      </c>
      <c r="G1778" s="50"/>
    </row>
    <row r="1779" spans="1:7" x14ac:dyDescent="0.25">
      <c r="A1779" s="50"/>
      <c r="B1779" s="50"/>
      <c r="C1779" s="50"/>
      <c r="D1779" s="50"/>
      <c r="E1779" s="54" t="s">
        <v>49</v>
      </c>
      <c r="F1779" s="49">
        <f ca="1">SUM(Table3123[MONTO TOTAL ESTIMADO])</f>
        <v>554616</v>
      </c>
      <c r="G1779" s="50"/>
    </row>
    <row r="1780" spans="1:7" ht="15.75" thickBot="1" x14ac:dyDescent="0.3">
      <c r="A1780" s="63"/>
      <c r="B1780" s="63"/>
      <c r="C1780" s="63"/>
      <c r="D1780" s="63"/>
      <c r="E1780" s="63"/>
      <c r="F1780" s="63"/>
      <c r="G1780" s="63"/>
    </row>
    <row r="1781" spans="1:7" ht="34.5" thickBot="1" x14ac:dyDescent="0.3">
      <c r="A1781" s="31" t="s">
        <v>18</v>
      </c>
      <c r="B1781" s="31" t="s">
        <v>19</v>
      </c>
      <c r="C1781" s="31" t="s">
        <v>20</v>
      </c>
      <c r="D1781" s="31" t="s">
        <v>21</v>
      </c>
      <c r="E1781" s="31" t="s">
        <v>22</v>
      </c>
      <c r="F1781" s="31" t="s">
        <v>23</v>
      </c>
      <c r="G1781" s="50"/>
    </row>
    <row r="1782" spans="1:7" ht="15.75" thickBot="1" x14ac:dyDescent="0.3">
      <c r="A1782" s="33" t="s">
        <v>66</v>
      </c>
      <c r="B1782" s="33" t="s">
        <v>67</v>
      </c>
      <c r="C1782" s="33" t="s">
        <v>26</v>
      </c>
      <c r="D1782" s="33" t="s">
        <v>27</v>
      </c>
      <c r="E1782" s="33" t="s">
        <v>53</v>
      </c>
      <c r="F1782" s="33"/>
      <c r="G1782" s="50"/>
    </row>
    <row r="1783" spans="1:7" ht="15.75" thickBot="1" x14ac:dyDescent="0.3">
      <c r="A1783" s="34" t="s">
        <v>28</v>
      </c>
      <c r="B1783" s="35" t="s">
        <v>29</v>
      </c>
      <c r="C1783" s="51">
        <v>45184</v>
      </c>
      <c r="D1783" s="34" t="s">
        <v>30</v>
      </c>
      <c r="E1783" s="35" t="s">
        <v>31</v>
      </c>
      <c r="F1783" s="33" t="s">
        <v>32</v>
      </c>
      <c r="G1783" s="50"/>
    </row>
    <row r="1784" spans="1:7" ht="15.75" thickBot="1" x14ac:dyDescent="0.3">
      <c r="A1784" s="39"/>
      <c r="B1784" s="35" t="s">
        <v>33</v>
      </c>
      <c r="C1784" s="52">
        <f>IF(C1783="","",IF(AND(MONTH(C1783)&gt;=1,MONTH(C1783)&lt;=3),1,IF(AND(MONTH(C1783)&gt;=4,MONTH(C1783)&lt;=6),2,IF(AND(MONTH(C1783)&gt;=7,MONTH(C1783)&lt;=9),3,4))))</f>
        <v>3</v>
      </c>
      <c r="D1784" s="39"/>
      <c r="E1784" s="35" t="s">
        <v>34</v>
      </c>
      <c r="F1784" s="33" t="s">
        <v>35</v>
      </c>
      <c r="G1784" s="50"/>
    </row>
    <row r="1785" spans="1:7" ht="15.75" thickBot="1" x14ac:dyDescent="0.3">
      <c r="A1785" s="39"/>
      <c r="B1785" s="35" t="s">
        <v>36</v>
      </c>
      <c r="C1785" s="51">
        <v>45194</v>
      </c>
      <c r="D1785" s="39"/>
      <c r="E1785" s="35" t="s">
        <v>37</v>
      </c>
      <c r="F1785" s="33" t="s">
        <v>35</v>
      </c>
      <c r="G1785" s="50"/>
    </row>
    <row r="1786" spans="1:7" ht="15.75" thickBot="1" x14ac:dyDescent="0.3">
      <c r="A1786" s="39"/>
      <c r="B1786" s="35" t="s">
        <v>33</v>
      </c>
      <c r="C1786" s="52">
        <f>IF(C1785="","",IF(AND(MONTH(C1785)&gt;=1,MONTH(C1785)&lt;=3),1,IF(AND(MONTH(C1785)&gt;=4,MONTH(C1785)&lt;=6),2,IF(AND(MONTH(C1785)&gt;=7,MONTH(C1785)&lt;=9),3,4))))</f>
        <v>3</v>
      </c>
      <c r="D1786" s="39"/>
      <c r="E1786" s="35" t="s">
        <v>38</v>
      </c>
      <c r="F1786" s="33" t="s">
        <v>35</v>
      </c>
      <c r="G1786" s="50"/>
    </row>
    <row r="1787" spans="1:7" ht="15.75" thickBot="1" x14ac:dyDescent="0.3">
      <c r="A1787" s="50"/>
      <c r="B1787" s="50"/>
      <c r="C1787" s="50"/>
      <c r="D1787" s="50"/>
      <c r="E1787" s="50"/>
      <c r="F1787" s="50"/>
      <c r="G1787" s="50"/>
    </row>
    <row r="1788" spans="1:7" ht="15.75" thickBot="1" x14ac:dyDescent="0.3">
      <c r="A1788" s="41" t="s">
        <v>39</v>
      </c>
      <c r="B1788" s="41" t="s">
        <v>40</v>
      </c>
      <c r="C1788" s="41" t="s">
        <v>41</v>
      </c>
      <c r="D1788" s="41" t="s">
        <v>42</v>
      </c>
      <c r="E1788" s="41" t="s">
        <v>43</v>
      </c>
      <c r="F1788" s="41" t="s">
        <v>44</v>
      </c>
      <c r="G1788" s="50"/>
    </row>
    <row r="1789" spans="1:7" ht="33.75" x14ac:dyDescent="0.25">
      <c r="A1789" s="42">
        <v>47131701</v>
      </c>
      <c r="B1789" s="43" t="str">
        <f ca="1">IFERROR(INDEX(UNSPSCDes,MATCH(INDIRECT(ADDRESS(ROW(),COLUMN()-1,4)),UNSPSCCode,0)),"")</f>
        <v>Dispensadores de toallas de papel</v>
      </c>
      <c r="C1789" s="42" t="s">
        <v>46</v>
      </c>
      <c r="D1789" s="42">
        <v>2</v>
      </c>
      <c r="E1789" s="45">
        <v>2000</v>
      </c>
      <c r="F1789" s="46">
        <f ca="1">INDIRECT(ADDRESS(ROW(),COLUMN()-2,4))*INDIRECT(ADDRESS(ROW(),COLUMN()-1,4))</f>
        <v>4000</v>
      </c>
      <c r="G1789" s="50"/>
    </row>
    <row r="1790" spans="1:7" x14ac:dyDescent="0.25">
      <c r="A1790" s="42">
        <v>14111704</v>
      </c>
      <c r="B1790" s="43" t="str">
        <f ca="1">IFERROR(INDEX(UNSPSCDes,MATCH(INDIRECT(ADDRESS(ROW(),COLUMN()-1,4)),UNSPSCCode,0)),"")</f>
        <v>Papel higiénico</v>
      </c>
      <c r="C1790" s="42" t="s">
        <v>47</v>
      </c>
      <c r="D1790" s="42">
        <v>120</v>
      </c>
      <c r="E1790" s="45">
        <v>1440</v>
      </c>
      <c r="F1790" s="46">
        <f ca="1">INDIRECT(ADDRESS(ROW(),COLUMN()-2,4))*INDIRECT(ADDRESS(ROW(),COLUMN()-1,4))</f>
        <v>172800</v>
      </c>
      <c r="G1790" s="50"/>
    </row>
    <row r="1791" spans="1:7" x14ac:dyDescent="0.25">
      <c r="A1791" s="42">
        <v>14111704</v>
      </c>
      <c r="B1791" s="43" t="str">
        <f ca="1">IFERROR(INDEX(UNSPSCDes,MATCH(INDIRECT(ADDRESS(ROW(),COLUMN()-1,4)),UNSPSCCode,0)),"")</f>
        <v>Papel higiénico</v>
      </c>
      <c r="C1791" s="42" t="s">
        <v>47</v>
      </c>
      <c r="D1791" s="42">
        <v>105</v>
      </c>
      <c r="E1791" s="45">
        <v>3250</v>
      </c>
      <c r="F1791" s="46">
        <f ca="1">INDIRECT(ADDRESS(ROW(),COLUMN()-2,4))*INDIRECT(ADDRESS(ROW(),COLUMN()-1,4))</f>
        <v>341250</v>
      </c>
      <c r="G1791" s="50"/>
    </row>
    <row r="1792" spans="1:7" x14ac:dyDescent="0.25">
      <c r="A1792" s="42">
        <v>52121602</v>
      </c>
      <c r="B1792" s="43" t="str">
        <f ca="1">IFERROR(INDEX(UNSPSCDes,MATCH(INDIRECT(ADDRESS(ROW(),COLUMN()-1,4)),UNSPSCCode,0)),"")</f>
        <v>Servilletas</v>
      </c>
      <c r="C1792" s="42" t="s">
        <v>68</v>
      </c>
      <c r="D1792" s="42">
        <v>10</v>
      </c>
      <c r="E1792" s="45">
        <v>950</v>
      </c>
      <c r="F1792" s="46">
        <f ca="1">INDIRECT(ADDRESS(ROW(),COLUMN()-2,4))*INDIRECT(ADDRESS(ROW(),COLUMN()-1,4))</f>
        <v>9500</v>
      </c>
      <c r="G1792" s="50"/>
    </row>
    <row r="1793" spans="1:7" x14ac:dyDescent="0.25">
      <c r="A1793" s="42">
        <v>52121602</v>
      </c>
      <c r="B1793" s="43" t="str">
        <f ca="1">IFERROR(INDEX(UNSPSCDes,MATCH(INDIRECT(ADDRESS(ROW(),COLUMN()-1,4)),UNSPSCCode,0)),"")</f>
        <v>Servilletas</v>
      </c>
      <c r="C1793" s="42" t="s">
        <v>47</v>
      </c>
      <c r="D1793" s="42">
        <v>12</v>
      </c>
      <c r="E1793" s="45">
        <v>115</v>
      </c>
      <c r="F1793" s="46">
        <f ca="1">INDIRECT(ADDRESS(ROW(),COLUMN()-2,4))*INDIRECT(ADDRESS(ROW(),COLUMN()-1,4))</f>
        <v>1380</v>
      </c>
      <c r="G1793" s="50"/>
    </row>
    <row r="1794" spans="1:7" x14ac:dyDescent="0.25">
      <c r="A1794" s="50"/>
      <c r="B1794" s="50"/>
      <c r="C1794" s="50"/>
      <c r="D1794" s="50"/>
      <c r="E1794" s="54" t="s">
        <v>49</v>
      </c>
      <c r="F1794" s="49">
        <f ca="1">SUM(Table3124[MONTO TOTAL ESTIMADO])</f>
        <v>528930</v>
      </c>
      <c r="G1794" s="50"/>
    </row>
    <row r="1795" spans="1:7" ht="15.75" thickBot="1" x14ac:dyDescent="0.3">
      <c r="A1795" s="63"/>
      <c r="B1795" s="63"/>
      <c r="C1795" s="63"/>
      <c r="D1795" s="63"/>
      <c r="E1795" s="63"/>
      <c r="F1795" s="63"/>
      <c r="G1795" s="63"/>
    </row>
    <row r="1796" spans="1:7" ht="34.5" thickBot="1" x14ac:dyDescent="0.3">
      <c r="A1796" s="31" t="s">
        <v>18</v>
      </c>
      <c r="B1796" s="31" t="s">
        <v>19</v>
      </c>
      <c r="C1796" s="31" t="s">
        <v>20</v>
      </c>
      <c r="D1796" s="31" t="s">
        <v>21</v>
      </c>
      <c r="E1796" s="31" t="s">
        <v>22</v>
      </c>
      <c r="F1796" s="31" t="s">
        <v>23</v>
      </c>
      <c r="G1796" s="50"/>
    </row>
    <row r="1797" spans="1:7" ht="15.75" thickBot="1" x14ac:dyDescent="0.3">
      <c r="A1797" s="33" t="s">
        <v>69</v>
      </c>
      <c r="B1797" s="33" t="s">
        <v>70</v>
      </c>
      <c r="C1797" s="33" t="s">
        <v>26</v>
      </c>
      <c r="D1797" s="33" t="s">
        <v>52</v>
      </c>
      <c r="E1797" s="33" t="s">
        <v>53</v>
      </c>
      <c r="F1797" s="33"/>
      <c r="G1797" s="50"/>
    </row>
    <row r="1798" spans="1:7" ht="15.75" thickBot="1" x14ac:dyDescent="0.3">
      <c r="A1798" s="34" t="s">
        <v>28</v>
      </c>
      <c r="B1798" s="35" t="s">
        <v>29</v>
      </c>
      <c r="C1798" s="51">
        <v>45180</v>
      </c>
      <c r="D1798" s="34" t="s">
        <v>30</v>
      </c>
      <c r="E1798" s="35" t="s">
        <v>31</v>
      </c>
      <c r="F1798" s="33" t="s">
        <v>32</v>
      </c>
      <c r="G1798" s="50"/>
    </row>
    <row r="1799" spans="1:7" ht="15.75" thickBot="1" x14ac:dyDescent="0.3">
      <c r="A1799" s="39"/>
      <c r="B1799" s="35" t="s">
        <v>33</v>
      </c>
      <c r="C1799" s="52">
        <f>IF(C1798="","",IF(AND(MONTH(C1798)&gt;=1,MONTH(C1798)&lt;=3),1,IF(AND(MONTH(C1798)&gt;=4,MONTH(C1798)&lt;=6),2,IF(AND(MONTH(C1798)&gt;=7,MONTH(C1798)&lt;=9),3,4))))</f>
        <v>3</v>
      </c>
      <c r="D1799" s="39"/>
      <c r="E1799" s="35" t="s">
        <v>34</v>
      </c>
      <c r="F1799" s="33" t="s">
        <v>35</v>
      </c>
      <c r="G1799" s="50"/>
    </row>
    <row r="1800" spans="1:7" ht="15.75" thickBot="1" x14ac:dyDescent="0.3">
      <c r="A1800" s="39"/>
      <c r="B1800" s="35" t="s">
        <v>36</v>
      </c>
      <c r="C1800" s="51">
        <v>45189</v>
      </c>
      <c r="D1800" s="39"/>
      <c r="E1800" s="35" t="s">
        <v>37</v>
      </c>
      <c r="F1800" s="33" t="s">
        <v>35</v>
      </c>
      <c r="G1800" s="50"/>
    </row>
    <row r="1801" spans="1:7" ht="15.75" thickBot="1" x14ac:dyDescent="0.3">
      <c r="A1801" s="39"/>
      <c r="B1801" s="35" t="s">
        <v>33</v>
      </c>
      <c r="C1801" s="52">
        <f>IF(C1800="","",IF(AND(MONTH(C1800)&gt;=1,MONTH(C1800)&lt;=3),1,IF(AND(MONTH(C1800)&gt;=4,MONTH(C1800)&lt;=6),2,IF(AND(MONTH(C1800)&gt;=7,MONTH(C1800)&lt;=9),3,4))))</f>
        <v>3</v>
      </c>
      <c r="D1801" s="39"/>
      <c r="E1801" s="35" t="s">
        <v>38</v>
      </c>
      <c r="F1801" s="33" t="s">
        <v>35</v>
      </c>
      <c r="G1801" s="50"/>
    </row>
    <row r="1802" spans="1:7" ht="15.75" thickBot="1" x14ac:dyDescent="0.3">
      <c r="A1802" s="50"/>
      <c r="B1802" s="50"/>
      <c r="C1802" s="50"/>
      <c r="D1802" s="50"/>
      <c r="E1802" s="50"/>
      <c r="F1802" s="50"/>
      <c r="G1802" s="50"/>
    </row>
    <row r="1803" spans="1:7" ht="15.75" thickBot="1" x14ac:dyDescent="0.3">
      <c r="A1803" s="41" t="s">
        <v>39</v>
      </c>
      <c r="B1803" s="41" t="s">
        <v>40</v>
      </c>
      <c r="C1803" s="41" t="s">
        <v>41</v>
      </c>
      <c r="D1803" s="41" t="s">
        <v>42</v>
      </c>
      <c r="E1803" s="41" t="s">
        <v>43</v>
      </c>
      <c r="F1803" s="41" t="s">
        <v>44</v>
      </c>
      <c r="G1803" s="50"/>
    </row>
    <row r="1804" spans="1:7" ht="33.75" x14ac:dyDescent="0.25">
      <c r="A1804" s="42">
        <v>26121704</v>
      </c>
      <c r="B1804" s="43" t="str">
        <f t="shared" ref="B1804:B1809" ca="1" si="36">IFERROR(INDEX(UNSPSCDes,MATCH(INDIRECT(ADDRESS(ROW(),COLUMN()-1,4)),UNSPSCCode,0)),"")</f>
        <v>Arnés de alambrado especial</v>
      </c>
      <c r="C1804" s="42" t="s">
        <v>46</v>
      </c>
      <c r="D1804" s="42">
        <v>6</v>
      </c>
      <c r="E1804" s="45">
        <v>90</v>
      </c>
      <c r="F1804" s="46">
        <f t="shared" ref="F1804:F1809" ca="1" si="37">INDIRECT(ADDRESS(ROW(),COLUMN()-2,4))*INDIRECT(ADDRESS(ROW(),COLUMN()-1,4))</f>
        <v>540</v>
      </c>
      <c r="G1804" s="50"/>
    </row>
    <row r="1805" spans="1:7" ht="33.75" x14ac:dyDescent="0.25">
      <c r="A1805" s="42">
        <v>26121704</v>
      </c>
      <c r="B1805" s="43" t="str">
        <f t="shared" ca="1" si="36"/>
        <v>Arnés de alambrado especial</v>
      </c>
      <c r="C1805" s="42" t="s">
        <v>46</v>
      </c>
      <c r="D1805" s="42">
        <v>6</v>
      </c>
      <c r="E1805" s="45">
        <v>340</v>
      </c>
      <c r="F1805" s="46">
        <f t="shared" ca="1" si="37"/>
        <v>2040</v>
      </c>
      <c r="G1805" s="50"/>
    </row>
    <row r="1806" spans="1:7" ht="22.5" x14ac:dyDescent="0.25">
      <c r="A1806" s="42">
        <v>26111717</v>
      </c>
      <c r="B1806" s="43" t="str">
        <f t="shared" ca="1" si="36"/>
        <v>Baterías del manganeso</v>
      </c>
      <c r="C1806" s="42" t="s">
        <v>47</v>
      </c>
      <c r="D1806" s="42">
        <v>30</v>
      </c>
      <c r="E1806" s="45">
        <v>190</v>
      </c>
      <c r="F1806" s="46">
        <f t="shared" ca="1" si="37"/>
        <v>5700</v>
      </c>
      <c r="G1806" s="50"/>
    </row>
    <row r="1807" spans="1:7" ht="22.5" x14ac:dyDescent="0.25">
      <c r="A1807" s="42">
        <v>26111717</v>
      </c>
      <c r="B1807" s="43" t="str">
        <f t="shared" ca="1" si="36"/>
        <v>Baterías del manganeso</v>
      </c>
      <c r="C1807" s="42" t="s">
        <v>46</v>
      </c>
      <c r="D1807" s="42">
        <v>14</v>
      </c>
      <c r="E1807" s="45">
        <v>118</v>
      </c>
      <c r="F1807" s="46">
        <f t="shared" ca="1" si="37"/>
        <v>1652</v>
      </c>
      <c r="G1807" s="50"/>
    </row>
    <row r="1808" spans="1:7" ht="22.5" x14ac:dyDescent="0.25">
      <c r="A1808" s="42">
        <v>26111717</v>
      </c>
      <c r="B1808" s="43" t="str">
        <f t="shared" ca="1" si="36"/>
        <v>Baterías del manganeso</v>
      </c>
      <c r="C1808" s="42" t="s">
        <v>46</v>
      </c>
      <c r="D1808" s="42">
        <v>36</v>
      </c>
      <c r="E1808" s="45">
        <v>190</v>
      </c>
      <c r="F1808" s="46">
        <f t="shared" ca="1" si="37"/>
        <v>6840</v>
      </c>
      <c r="G1808" s="50"/>
    </row>
    <row r="1809" spans="1:7" x14ac:dyDescent="0.25">
      <c r="A1809" s="42">
        <v>31162402</v>
      </c>
      <c r="B1809" s="43" t="str">
        <f t="shared" ca="1" si="36"/>
        <v>Cerraduras</v>
      </c>
      <c r="C1809" s="42" t="s">
        <v>46</v>
      </c>
      <c r="D1809" s="42">
        <v>4</v>
      </c>
      <c r="E1809" s="45">
        <v>3455</v>
      </c>
      <c r="F1809" s="46">
        <f t="shared" ca="1" si="37"/>
        <v>13820</v>
      </c>
      <c r="G1809" s="50"/>
    </row>
    <row r="1810" spans="1:7" x14ac:dyDescent="0.25">
      <c r="A1810" s="50"/>
      <c r="B1810" s="50"/>
      <c r="C1810" s="50"/>
      <c r="D1810" s="50"/>
      <c r="E1810" s="54" t="s">
        <v>49</v>
      </c>
      <c r="F1810" s="49">
        <f ca="1">SUM(Table3125[MONTO TOTAL ESTIMADO])</f>
        <v>30592</v>
      </c>
      <c r="G1810" s="50"/>
    </row>
    <row r="1811" spans="1:7" ht="15.75" thickBot="1" x14ac:dyDescent="0.3">
      <c r="A1811" s="64"/>
      <c r="B1811" s="64"/>
      <c r="C1811" s="64"/>
      <c r="D1811" s="64"/>
      <c r="E1811" s="64"/>
      <c r="F1811" s="64"/>
      <c r="G1811" s="64"/>
    </row>
    <row r="1812" spans="1:7" ht="34.5" thickBot="1" x14ac:dyDescent="0.3">
      <c r="A1812" s="31" t="s">
        <v>18</v>
      </c>
      <c r="B1812" s="31" t="s">
        <v>19</v>
      </c>
      <c r="C1812" s="31" t="s">
        <v>20</v>
      </c>
      <c r="D1812" s="31" t="s">
        <v>21</v>
      </c>
      <c r="E1812" s="31" t="s">
        <v>22</v>
      </c>
      <c r="F1812" s="31" t="s">
        <v>23</v>
      </c>
      <c r="G1812" s="50"/>
    </row>
    <row r="1813" spans="1:7" ht="15.75" thickBot="1" x14ac:dyDescent="0.3">
      <c r="A1813" s="33" t="s">
        <v>85</v>
      </c>
      <c r="B1813" s="33" t="s">
        <v>85</v>
      </c>
      <c r="C1813" s="33" t="s">
        <v>26</v>
      </c>
      <c r="D1813" s="33" t="s">
        <v>52</v>
      </c>
      <c r="E1813" s="33" t="s">
        <v>53</v>
      </c>
      <c r="F1813" s="33"/>
      <c r="G1813" s="50"/>
    </row>
    <row r="1814" spans="1:7" ht="15.75" thickBot="1" x14ac:dyDescent="0.3">
      <c r="A1814" s="34" t="s">
        <v>28</v>
      </c>
      <c r="B1814" s="35" t="s">
        <v>29</v>
      </c>
      <c r="C1814" s="51">
        <v>45182</v>
      </c>
      <c r="D1814" s="34" t="s">
        <v>30</v>
      </c>
      <c r="E1814" s="35" t="s">
        <v>31</v>
      </c>
      <c r="F1814" s="33" t="s">
        <v>32</v>
      </c>
      <c r="G1814" s="50"/>
    </row>
    <row r="1815" spans="1:7" ht="15.75" thickBot="1" x14ac:dyDescent="0.3">
      <c r="A1815" s="39"/>
      <c r="B1815" s="35" t="s">
        <v>33</v>
      </c>
      <c r="C1815" s="52">
        <f>IF(C1814="","",IF(AND(MONTH(C1814)&gt;=1,MONTH(C1814)&lt;=3),1,IF(AND(MONTH(C1814)&gt;=4,MONTH(C1814)&lt;=6),2,IF(AND(MONTH(C1814)&gt;=7,MONTH(C1814)&lt;=9),3,4))))</f>
        <v>3</v>
      </c>
      <c r="D1815" s="39"/>
      <c r="E1815" s="35" t="s">
        <v>34</v>
      </c>
      <c r="F1815" s="33" t="s">
        <v>35</v>
      </c>
      <c r="G1815" s="50"/>
    </row>
    <row r="1816" spans="1:7" ht="15.75" thickBot="1" x14ac:dyDescent="0.3">
      <c r="A1816" s="39"/>
      <c r="B1816" s="35" t="s">
        <v>36</v>
      </c>
      <c r="C1816" s="51">
        <v>45191</v>
      </c>
      <c r="D1816" s="39"/>
      <c r="E1816" s="35" t="s">
        <v>37</v>
      </c>
      <c r="F1816" s="33" t="s">
        <v>35</v>
      </c>
      <c r="G1816" s="50"/>
    </row>
    <row r="1817" spans="1:7" ht="15.75" thickBot="1" x14ac:dyDescent="0.3">
      <c r="A1817" s="39"/>
      <c r="B1817" s="35" t="s">
        <v>33</v>
      </c>
      <c r="C1817" s="52">
        <f>IF(C1816="","",IF(AND(MONTH(C1816)&gt;=1,MONTH(C1816)&lt;=3),1,IF(AND(MONTH(C1816)&gt;=4,MONTH(C1816)&lt;=6),2,IF(AND(MONTH(C1816)&gt;=7,MONTH(C1816)&lt;=9),3,4))))</f>
        <v>3</v>
      </c>
      <c r="D1817" s="39"/>
      <c r="E1817" s="35" t="s">
        <v>38</v>
      </c>
      <c r="F1817" s="33" t="s">
        <v>35</v>
      </c>
      <c r="G1817" s="50"/>
    </row>
    <row r="1818" spans="1:7" ht="15.75" thickBot="1" x14ac:dyDescent="0.3">
      <c r="A1818" s="50"/>
      <c r="B1818" s="50"/>
      <c r="C1818" s="50"/>
      <c r="D1818" s="50"/>
      <c r="E1818" s="50"/>
      <c r="F1818" s="50"/>
      <c r="G1818" s="50"/>
    </row>
    <row r="1819" spans="1:7" ht="15.75" thickBot="1" x14ac:dyDescent="0.3">
      <c r="A1819" s="41" t="s">
        <v>39</v>
      </c>
      <c r="B1819" s="41" t="s">
        <v>40</v>
      </c>
      <c r="C1819" s="41" t="s">
        <v>41</v>
      </c>
      <c r="D1819" s="41" t="s">
        <v>42</v>
      </c>
      <c r="E1819" s="41" t="s">
        <v>43</v>
      </c>
      <c r="F1819" s="41" t="s">
        <v>44</v>
      </c>
      <c r="G1819" s="50"/>
    </row>
    <row r="1820" spans="1:7" ht="56.25" x14ac:dyDescent="0.25">
      <c r="A1820" s="42">
        <v>52151504</v>
      </c>
      <c r="B1820" s="43" t="str">
        <f ca="1">IFERROR(INDEX(UNSPSCDes,MATCH(INDIRECT(ADDRESS(ROW(),COLUMN()-1,4)),UNSPSCCode,0)),"")</f>
        <v>Tazas o vasos o tapas desechables para uso doméstico</v>
      </c>
      <c r="C1820" s="42" t="s">
        <v>45</v>
      </c>
      <c r="D1820" s="42">
        <v>2</v>
      </c>
      <c r="E1820" s="45">
        <v>4200</v>
      </c>
      <c r="F1820" s="46">
        <f ca="1">INDIRECT(ADDRESS(ROW(),COLUMN()-2,4))*INDIRECT(ADDRESS(ROW(),COLUMN()-1,4))</f>
        <v>8400</v>
      </c>
      <c r="G1820" s="50"/>
    </row>
    <row r="1821" spans="1:7" ht="56.25" x14ac:dyDescent="0.25">
      <c r="A1821" s="42">
        <v>52151504</v>
      </c>
      <c r="B1821" s="43" t="str">
        <f ca="1">IFERROR(INDEX(UNSPSCDes,MATCH(INDIRECT(ADDRESS(ROW(),COLUMN()-1,4)),UNSPSCCode,0)),"")</f>
        <v>Tazas o vasos o tapas desechables para uso doméstico</v>
      </c>
      <c r="C1821" s="42" t="s">
        <v>45</v>
      </c>
      <c r="D1821" s="42">
        <v>6</v>
      </c>
      <c r="E1821" s="45">
        <v>4200</v>
      </c>
      <c r="F1821" s="46">
        <f ca="1">INDIRECT(ADDRESS(ROW(),COLUMN()-2,4))*INDIRECT(ADDRESS(ROW(),COLUMN()-1,4))</f>
        <v>25200</v>
      </c>
      <c r="G1821" s="50"/>
    </row>
    <row r="1822" spans="1:7" ht="56.25" x14ac:dyDescent="0.25">
      <c r="A1822" s="42">
        <v>52151504</v>
      </c>
      <c r="B1822" s="43" t="str">
        <f ca="1">IFERROR(INDEX(UNSPSCDes,MATCH(INDIRECT(ADDRESS(ROW(),COLUMN()-1,4)),UNSPSCCode,0)),"")</f>
        <v>Tazas o vasos o tapas desechables para uso doméstico</v>
      </c>
      <c r="C1822" s="42" t="s">
        <v>45</v>
      </c>
      <c r="D1822" s="42">
        <v>6</v>
      </c>
      <c r="E1822" s="45">
        <v>3700</v>
      </c>
      <c r="F1822" s="46">
        <f ca="1">INDIRECT(ADDRESS(ROW(),COLUMN()-2,4))*INDIRECT(ADDRESS(ROW(),COLUMN()-1,4))</f>
        <v>22200</v>
      </c>
      <c r="G1822" s="50"/>
    </row>
    <row r="1823" spans="1:7" x14ac:dyDescent="0.25">
      <c r="A1823" s="50"/>
      <c r="B1823" s="50"/>
      <c r="C1823" s="50"/>
      <c r="D1823" s="50"/>
      <c r="E1823" s="54" t="s">
        <v>49</v>
      </c>
      <c r="F1823" s="49">
        <f ca="1">SUM(Table3128[MONTO TOTAL ESTIMADO])</f>
        <v>55800</v>
      </c>
      <c r="G1823" s="50"/>
    </row>
    <row r="1824" spans="1:7" ht="15.75" thickBot="1" x14ac:dyDescent="0.3">
      <c r="A1824" s="64"/>
      <c r="B1824" s="64"/>
      <c r="C1824" s="64"/>
      <c r="D1824" s="64"/>
      <c r="E1824" s="64"/>
      <c r="F1824" s="64"/>
      <c r="G1824" s="64"/>
    </row>
    <row r="1825" spans="1:7" ht="34.5" thickBot="1" x14ac:dyDescent="0.3">
      <c r="A1825" s="31" t="s">
        <v>18</v>
      </c>
      <c r="B1825" s="31" t="s">
        <v>19</v>
      </c>
      <c r="C1825" s="31" t="s">
        <v>20</v>
      </c>
      <c r="D1825" s="31" t="s">
        <v>21</v>
      </c>
      <c r="E1825" s="31" t="s">
        <v>22</v>
      </c>
      <c r="F1825" s="31" t="s">
        <v>23</v>
      </c>
      <c r="G1825" s="50"/>
    </row>
    <row r="1826" spans="1:7" ht="15.75" thickBot="1" x14ac:dyDescent="0.3">
      <c r="A1826" s="33" t="s">
        <v>78</v>
      </c>
      <c r="B1826" s="33" t="s">
        <v>79</v>
      </c>
      <c r="C1826" s="33" t="s">
        <v>74</v>
      </c>
      <c r="D1826" s="33" t="s">
        <v>27</v>
      </c>
      <c r="E1826" s="33" t="s">
        <v>53</v>
      </c>
      <c r="F1826" s="33"/>
      <c r="G1826" s="50"/>
    </row>
    <row r="1827" spans="1:7" ht="15.75" thickBot="1" x14ac:dyDescent="0.3">
      <c r="A1827" s="34" t="s">
        <v>28</v>
      </c>
      <c r="B1827" s="35" t="s">
        <v>29</v>
      </c>
      <c r="C1827" s="51">
        <v>45183</v>
      </c>
      <c r="D1827" s="34" t="s">
        <v>30</v>
      </c>
      <c r="E1827" s="35" t="s">
        <v>31</v>
      </c>
      <c r="F1827" s="33" t="s">
        <v>32</v>
      </c>
      <c r="G1827" s="50"/>
    </row>
    <row r="1828" spans="1:7" ht="15.75" thickBot="1" x14ac:dyDescent="0.3">
      <c r="A1828" s="39"/>
      <c r="B1828" s="35" t="s">
        <v>33</v>
      </c>
      <c r="C1828" s="52">
        <f>IF(C1827="","",IF(AND(MONTH(C1827)&gt;=1,MONTH(C1827)&lt;=3),1,IF(AND(MONTH(C1827)&gt;=4,MONTH(C1827)&lt;=6),2,IF(AND(MONTH(C1827)&gt;=7,MONTH(C1827)&lt;=9),3,4))))</f>
        <v>3</v>
      </c>
      <c r="D1828" s="39"/>
      <c r="E1828" s="35" t="s">
        <v>34</v>
      </c>
      <c r="F1828" s="33" t="s">
        <v>35</v>
      </c>
      <c r="G1828" s="50"/>
    </row>
    <row r="1829" spans="1:7" ht="15.75" thickBot="1" x14ac:dyDescent="0.3">
      <c r="A1829" s="39"/>
      <c r="B1829" s="35" t="s">
        <v>36</v>
      </c>
      <c r="C1829" s="51">
        <v>45192</v>
      </c>
      <c r="D1829" s="39"/>
      <c r="E1829" s="35" t="s">
        <v>37</v>
      </c>
      <c r="F1829" s="33" t="s">
        <v>35</v>
      </c>
      <c r="G1829" s="50"/>
    </row>
    <row r="1830" spans="1:7" ht="15.75" thickBot="1" x14ac:dyDescent="0.3">
      <c r="A1830" s="39"/>
      <c r="B1830" s="35" t="s">
        <v>33</v>
      </c>
      <c r="C1830" s="52">
        <f>IF(C1829="","",IF(AND(MONTH(C1829)&gt;=1,MONTH(C1829)&lt;=3),1,IF(AND(MONTH(C1829)&gt;=4,MONTH(C1829)&lt;=6),2,IF(AND(MONTH(C1829)&gt;=7,MONTH(C1829)&lt;=9),3,4))))</f>
        <v>3</v>
      </c>
      <c r="D1830" s="39"/>
      <c r="E1830" s="35" t="s">
        <v>38</v>
      </c>
      <c r="F1830" s="33" t="s">
        <v>35</v>
      </c>
      <c r="G1830" s="50"/>
    </row>
    <row r="1831" spans="1:7" ht="15.75" thickBot="1" x14ac:dyDescent="0.3">
      <c r="A1831" s="50"/>
      <c r="B1831" s="50"/>
      <c r="C1831" s="50"/>
      <c r="D1831" s="50"/>
      <c r="E1831" s="50"/>
      <c r="F1831" s="50"/>
      <c r="G1831" s="50"/>
    </row>
    <row r="1832" spans="1:7" ht="15.75" thickBot="1" x14ac:dyDescent="0.3">
      <c r="A1832" s="41" t="s">
        <v>39</v>
      </c>
      <c r="B1832" s="41" t="s">
        <v>40</v>
      </c>
      <c r="C1832" s="41" t="s">
        <v>41</v>
      </c>
      <c r="D1832" s="41" t="s">
        <v>42</v>
      </c>
      <c r="E1832" s="41" t="s">
        <v>43</v>
      </c>
      <c r="F1832" s="41" t="s">
        <v>44</v>
      </c>
      <c r="G1832" s="50"/>
    </row>
    <row r="1833" spans="1:7" ht="67.5" x14ac:dyDescent="0.25">
      <c r="A1833" s="42">
        <v>72102305</v>
      </c>
      <c r="B1833" s="43" t="str">
        <f ca="1">IFERROR(INDEX(UNSPSCDes,MATCH(INDIRECT(ADDRESS(ROW(),COLUMN()-1,4)),UNSPSCCode,0)),"")</f>
        <v>Servicios de reparación, mantenimiento o reparación de aire acondicionado</v>
      </c>
      <c r="C1833" s="42" t="s">
        <v>46</v>
      </c>
      <c r="D1833" s="42">
        <v>1</v>
      </c>
      <c r="E1833" s="45">
        <v>475000</v>
      </c>
      <c r="F1833" s="46">
        <f ca="1">INDIRECT(ADDRESS(ROW(),COLUMN()-2,4))*INDIRECT(ADDRESS(ROW(),COLUMN()-1,4))</f>
        <v>475000</v>
      </c>
      <c r="G1833" s="50"/>
    </row>
    <row r="1834" spans="1:7" x14ac:dyDescent="0.25">
      <c r="A1834" s="50"/>
      <c r="B1834" s="50"/>
      <c r="C1834" s="50"/>
      <c r="D1834" s="50"/>
      <c r="E1834" s="54" t="s">
        <v>49</v>
      </c>
      <c r="F1834" s="49">
        <f ca="1">SUM(Table3129[MONTO TOTAL ESTIMADO])</f>
        <v>475000</v>
      </c>
      <c r="G1834" s="50"/>
    </row>
    <row r="1835" spans="1:7" ht="15.75" thickBot="1" x14ac:dyDescent="0.3">
      <c r="A1835" s="64"/>
      <c r="B1835" s="64"/>
      <c r="C1835" s="64"/>
      <c r="D1835" s="64"/>
      <c r="E1835" s="64"/>
      <c r="F1835" s="64"/>
      <c r="G1835" s="64"/>
    </row>
    <row r="1836" spans="1:7" ht="34.5" thickBot="1" x14ac:dyDescent="0.3">
      <c r="A1836" s="31" t="s">
        <v>18</v>
      </c>
      <c r="B1836" s="31" t="s">
        <v>19</v>
      </c>
      <c r="C1836" s="31" t="s">
        <v>20</v>
      </c>
      <c r="D1836" s="31" t="s">
        <v>21</v>
      </c>
      <c r="E1836" s="31" t="s">
        <v>22</v>
      </c>
      <c r="F1836" s="31" t="s">
        <v>23</v>
      </c>
      <c r="G1836" s="50"/>
    </row>
    <row r="1837" spans="1:7" ht="15.75" thickBot="1" x14ac:dyDescent="0.3">
      <c r="A1837" s="33" t="s">
        <v>100</v>
      </c>
      <c r="B1837" s="33" t="s">
        <v>100</v>
      </c>
      <c r="C1837" s="33" t="s">
        <v>74</v>
      </c>
      <c r="D1837" s="33" t="s">
        <v>52</v>
      </c>
      <c r="E1837" s="33" t="s">
        <v>56</v>
      </c>
      <c r="F1837" s="33"/>
      <c r="G1837" s="50"/>
    </row>
    <row r="1838" spans="1:7" ht="15.75" thickBot="1" x14ac:dyDescent="0.3">
      <c r="A1838" s="34" t="s">
        <v>28</v>
      </c>
      <c r="B1838" s="35" t="s">
        <v>29</v>
      </c>
      <c r="C1838" s="51">
        <v>45186</v>
      </c>
      <c r="D1838" s="34" t="s">
        <v>30</v>
      </c>
      <c r="E1838" s="35" t="s">
        <v>31</v>
      </c>
      <c r="F1838" s="33" t="s">
        <v>32</v>
      </c>
      <c r="G1838" s="50"/>
    </row>
    <row r="1839" spans="1:7" ht="15.75" thickBot="1" x14ac:dyDescent="0.3">
      <c r="A1839" s="39"/>
      <c r="B1839" s="35" t="s">
        <v>33</v>
      </c>
      <c r="C1839" s="52">
        <f>IF(C1838="","",IF(AND(MONTH(C1838)&gt;=1,MONTH(C1838)&lt;=3),1,IF(AND(MONTH(C1838)&gt;=4,MONTH(C1838)&lt;=6),2,IF(AND(MONTH(C1838)&gt;=7,MONTH(C1838)&lt;=9),3,4))))</f>
        <v>3</v>
      </c>
      <c r="D1839" s="39"/>
      <c r="E1839" s="35" t="s">
        <v>34</v>
      </c>
      <c r="F1839" s="33" t="s">
        <v>35</v>
      </c>
      <c r="G1839" s="50"/>
    </row>
    <row r="1840" spans="1:7" ht="15.75" thickBot="1" x14ac:dyDescent="0.3">
      <c r="A1840" s="39"/>
      <c r="B1840" s="35" t="s">
        <v>36</v>
      </c>
      <c r="C1840" s="51">
        <v>45194</v>
      </c>
      <c r="D1840" s="39"/>
      <c r="E1840" s="35" t="s">
        <v>37</v>
      </c>
      <c r="F1840" s="33" t="s">
        <v>35</v>
      </c>
      <c r="G1840" s="50"/>
    </row>
    <row r="1841" spans="1:7" ht="15.75" thickBot="1" x14ac:dyDescent="0.3">
      <c r="A1841" s="39"/>
      <c r="B1841" s="35" t="s">
        <v>33</v>
      </c>
      <c r="C1841" s="52">
        <f>IF(C1840="","",IF(AND(MONTH(C1840)&gt;=1,MONTH(C1840)&lt;=3),1,IF(AND(MONTH(C1840)&gt;=4,MONTH(C1840)&lt;=6),2,IF(AND(MONTH(C1840)&gt;=7,MONTH(C1840)&lt;=9),3,4))))</f>
        <v>3</v>
      </c>
      <c r="D1841" s="39"/>
      <c r="E1841" s="35" t="s">
        <v>38</v>
      </c>
      <c r="F1841" s="33" t="s">
        <v>35</v>
      </c>
      <c r="G1841" s="50"/>
    </row>
    <row r="1842" spans="1:7" ht="15.75" thickBot="1" x14ac:dyDescent="0.3">
      <c r="A1842" s="50"/>
      <c r="B1842" s="50"/>
      <c r="C1842" s="50"/>
      <c r="D1842" s="50"/>
      <c r="E1842" s="50"/>
      <c r="F1842" s="50"/>
      <c r="G1842" s="50"/>
    </row>
    <row r="1843" spans="1:7" ht="15.75" thickBot="1" x14ac:dyDescent="0.3">
      <c r="A1843" s="41" t="s">
        <v>39</v>
      </c>
      <c r="B1843" s="41" t="s">
        <v>40</v>
      </c>
      <c r="C1843" s="41" t="s">
        <v>41</v>
      </c>
      <c r="D1843" s="41" t="s">
        <v>42</v>
      </c>
      <c r="E1843" s="41" t="s">
        <v>43</v>
      </c>
      <c r="F1843" s="41" t="s">
        <v>44</v>
      </c>
      <c r="G1843" s="50"/>
    </row>
    <row r="1844" spans="1:7" ht="22.5" x14ac:dyDescent="0.25">
      <c r="A1844" s="42">
        <v>82101504</v>
      </c>
      <c r="B1844" s="43" t="str">
        <f ca="1">IFERROR(INDEX(UNSPSCDes,MATCH(INDIRECT(ADDRESS(ROW(),COLUMN()-1,4)),UNSPSCCode,0)),"")</f>
        <v>Publicidad en periódicos</v>
      </c>
      <c r="C1844" s="42" t="s">
        <v>46</v>
      </c>
      <c r="D1844" s="42">
        <v>2</v>
      </c>
      <c r="E1844" s="45">
        <v>20000</v>
      </c>
      <c r="F1844" s="46">
        <f ca="1">INDIRECT(ADDRESS(ROW(),COLUMN()-2,4))*INDIRECT(ADDRESS(ROW(),COLUMN()-1,4))</f>
        <v>40000</v>
      </c>
      <c r="G1844" s="50"/>
    </row>
    <row r="1845" spans="1:7" x14ac:dyDescent="0.25">
      <c r="A1845" s="50"/>
      <c r="B1845" s="50"/>
      <c r="C1845" s="50"/>
      <c r="D1845" s="50"/>
      <c r="E1845" s="54" t="s">
        <v>49</v>
      </c>
      <c r="F1845" s="49">
        <f ca="1">SUM(Table3130[MONTO TOTAL ESTIMADO])</f>
        <v>40000</v>
      </c>
      <c r="G1845" s="50"/>
    </row>
    <row r="1846" spans="1:7" ht="15.75" thickBot="1" x14ac:dyDescent="0.3">
      <c r="A1846" s="64"/>
      <c r="B1846" s="64"/>
      <c r="C1846" s="64"/>
      <c r="D1846" s="64"/>
      <c r="E1846" s="64"/>
      <c r="F1846" s="64"/>
      <c r="G1846" s="64"/>
    </row>
    <row r="1847" spans="1:7" ht="34.5" thickBot="1" x14ac:dyDescent="0.3">
      <c r="A1847" s="31" t="s">
        <v>18</v>
      </c>
      <c r="B1847" s="31" t="s">
        <v>19</v>
      </c>
      <c r="C1847" s="31" t="s">
        <v>20</v>
      </c>
      <c r="D1847" s="31" t="s">
        <v>21</v>
      </c>
      <c r="E1847" s="31" t="s">
        <v>22</v>
      </c>
      <c r="F1847" s="31" t="s">
        <v>23</v>
      </c>
      <c r="G1847" s="50"/>
    </row>
    <row r="1848" spans="1:7" ht="15.75" thickBot="1" x14ac:dyDescent="0.3">
      <c r="A1848" s="33" t="s">
        <v>121</v>
      </c>
      <c r="B1848" s="33" t="s">
        <v>122</v>
      </c>
      <c r="C1848" s="33" t="s">
        <v>74</v>
      </c>
      <c r="D1848" s="33" t="s">
        <v>27</v>
      </c>
      <c r="E1848" s="33" t="s">
        <v>56</v>
      </c>
      <c r="F1848" s="33"/>
      <c r="G1848" s="50"/>
    </row>
    <row r="1849" spans="1:7" ht="15.75" thickBot="1" x14ac:dyDescent="0.3">
      <c r="A1849" s="34" t="s">
        <v>28</v>
      </c>
      <c r="B1849" s="35" t="s">
        <v>29</v>
      </c>
      <c r="C1849" s="51">
        <v>45183</v>
      </c>
      <c r="D1849" s="34" t="s">
        <v>30</v>
      </c>
      <c r="E1849" s="35" t="s">
        <v>31</v>
      </c>
      <c r="F1849" s="33" t="s">
        <v>32</v>
      </c>
      <c r="G1849" s="50"/>
    </row>
    <row r="1850" spans="1:7" ht="15.75" thickBot="1" x14ac:dyDescent="0.3">
      <c r="A1850" s="39"/>
      <c r="B1850" s="35" t="s">
        <v>33</v>
      </c>
      <c r="C1850" s="52">
        <f>IF(C1849="","",IF(AND(MONTH(C1849)&gt;=1,MONTH(C1849)&lt;=3),1,IF(AND(MONTH(C1849)&gt;=4,MONTH(C1849)&lt;=6),2,IF(AND(MONTH(C1849)&gt;=7,MONTH(C1849)&lt;=9),3,4))))</f>
        <v>3</v>
      </c>
      <c r="D1850" s="39"/>
      <c r="E1850" s="35" t="s">
        <v>34</v>
      </c>
      <c r="F1850" s="33" t="s">
        <v>35</v>
      </c>
      <c r="G1850" s="50"/>
    </row>
    <row r="1851" spans="1:7" ht="15.75" thickBot="1" x14ac:dyDescent="0.3">
      <c r="A1851" s="39"/>
      <c r="B1851" s="35" t="s">
        <v>36</v>
      </c>
      <c r="C1851" s="51">
        <v>45195</v>
      </c>
      <c r="D1851" s="39"/>
      <c r="E1851" s="35" t="s">
        <v>37</v>
      </c>
      <c r="F1851" s="33" t="s">
        <v>35</v>
      </c>
      <c r="G1851" s="50"/>
    </row>
    <row r="1852" spans="1:7" ht="15.75" thickBot="1" x14ac:dyDescent="0.3">
      <c r="A1852" s="39"/>
      <c r="B1852" s="35" t="s">
        <v>33</v>
      </c>
      <c r="C1852" s="52">
        <f>IF(C1851="","",IF(AND(MONTH(C1851)&gt;=1,MONTH(C1851)&lt;=3),1,IF(AND(MONTH(C1851)&gt;=4,MONTH(C1851)&lt;=6),2,IF(AND(MONTH(C1851)&gt;=7,MONTH(C1851)&lt;=9),3,4))))</f>
        <v>3</v>
      </c>
      <c r="D1852" s="39"/>
      <c r="E1852" s="35" t="s">
        <v>38</v>
      </c>
      <c r="F1852" s="33" t="s">
        <v>35</v>
      </c>
      <c r="G1852" s="50"/>
    </row>
    <row r="1853" spans="1:7" ht="15.75" thickBot="1" x14ac:dyDescent="0.3">
      <c r="A1853" s="50"/>
      <c r="B1853" s="50"/>
      <c r="C1853" s="50"/>
      <c r="D1853" s="50"/>
      <c r="E1853" s="50"/>
      <c r="F1853" s="50"/>
      <c r="G1853" s="50"/>
    </row>
    <row r="1854" spans="1:7" ht="15.75" thickBot="1" x14ac:dyDescent="0.3">
      <c r="A1854" s="41" t="s">
        <v>39</v>
      </c>
      <c r="B1854" s="41" t="s">
        <v>40</v>
      </c>
      <c r="C1854" s="41" t="s">
        <v>41</v>
      </c>
      <c r="D1854" s="41" t="s">
        <v>42</v>
      </c>
      <c r="E1854" s="41" t="s">
        <v>43</v>
      </c>
      <c r="F1854" s="41" t="s">
        <v>44</v>
      </c>
      <c r="G1854" s="50"/>
    </row>
    <row r="1855" spans="1:7" ht="22.5" x14ac:dyDescent="0.25">
      <c r="A1855" s="42">
        <v>86101705</v>
      </c>
      <c r="B1855" s="43" t="str">
        <f ca="1">IFERROR(INDEX(UNSPSCDes,MATCH(INDIRECT(ADDRESS(ROW(),COLUMN()-1,4)),UNSPSCCode,0)),"")</f>
        <v>Capacitación administrativa</v>
      </c>
      <c r="C1855" s="42" t="s">
        <v>46</v>
      </c>
      <c r="D1855" s="42">
        <v>20</v>
      </c>
      <c r="E1855" s="45">
        <v>15000</v>
      </c>
      <c r="F1855" s="46">
        <f ca="1">INDIRECT(ADDRESS(ROW(),COLUMN()-2,4))*INDIRECT(ADDRESS(ROW(),COLUMN()-1,4))</f>
        <v>300000</v>
      </c>
      <c r="G1855" s="50"/>
    </row>
    <row r="1856" spans="1:7" ht="22.5" x14ac:dyDescent="0.25">
      <c r="A1856" s="42">
        <v>86101705</v>
      </c>
      <c r="B1856" s="43" t="str">
        <f ca="1">IFERROR(INDEX(UNSPSCDes,MATCH(INDIRECT(ADDRESS(ROW(),COLUMN()-1,4)),UNSPSCCode,0)),"")</f>
        <v>Capacitación administrativa</v>
      </c>
      <c r="C1856" s="42" t="s">
        <v>46</v>
      </c>
      <c r="D1856" s="42">
        <v>20</v>
      </c>
      <c r="E1856" s="45">
        <v>15000</v>
      </c>
      <c r="F1856" s="46">
        <f ca="1">INDIRECT(ADDRESS(ROW(),COLUMN()-2,4))*INDIRECT(ADDRESS(ROW(),COLUMN()-1,4))</f>
        <v>300000</v>
      </c>
      <c r="G1856" s="50"/>
    </row>
    <row r="1857" spans="1:7" x14ac:dyDescent="0.25">
      <c r="A1857" s="50"/>
      <c r="B1857" s="50"/>
      <c r="C1857" s="50"/>
      <c r="D1857" s="50"/>
      <c r="E1857" s="54" t="s">
        <v>49</v>
      </c>
      <c r="F1857" s="49">
        <f ca="1">SUM(Table3131[MONTO TOTAL ESTIMADO])</f>
        <v>600000</v>
      </c>
      <c r="G1857" s="50"/>
    </row>
    <row r="1858" spans="1:7" ht="15.75" thickBot="1" x14ac:dyDescent="0.3">
      <c r="A1858" s="64"/>
      <c r="B1858" s="64"/>
      <c r="C1858" s="64"/>
      <c r="D1858" s="64"/>
      <c r="E1858" s="64"/>
      <c r="F1858" s="64"/>
      <c r="G1858" s="64"/>
    </row>
    <row r="1859" spans="1:7" ht="34.5" thickBot="1" x14ac:dyDescent="0.3">
      <c r="A1859" s="31" t="s">
        <v>18</v>
      </c>
      <c r="B1859" s="31" t="s">
        <v>19</v>
      </c>
      <c r="C1859" s="31" t="s">
        <v>20</v>
      </c>
      <c r="D1859" s="31" t="s">
        <v>21</v>
      </c>
      <c r="E1859" s="31" t="s">
        <v>22</v>
      </c>
      <c r="F1859" s="31" t="s">
        <v>23</v>
      </c>
      <c r="G1859" s="50"/>
    </row>
    <row r="1860" spans="1:7" ht="15.75" thickBot="1" x14ac:dyDescent="0.3">
      <c r="A1860" s="33" t="s">
        <v>83</v>
      </c>
      <c r="B1860" s="33" t="s">
        <v>84</v>
      </c>
      <c r="C1860" s="33" t="s">
        <v>74</v>
      </c>
      <c r="D1860" s="33" t="s">
        <v>52</v>
      </c>
      <c r="E1860" s="33" t="s">
        <v>62</v>
      </c>
      <c r="F1860" s="33"/>
      <c r="G1860" s="50"/>
    </row>
    <row r="1861" spans="1:7" ht="15.75" thickBot="1" x14ac:dyDescent="0.3">
      <c r="A1861" s="34" t="s">
        <v>28</v>
      </c>
      <c r="B1861" s="35" t="s">
        <v>29</v>
      </c>
      <c r="C1861" s="51">
        <v>45188</v>
      </c>
      <c r="D1861" s="34" t="s">
        <v>30</v>
      </c>
      <c r="E1861" s="35" t="s">
        <v>31</v>
      </c>
      <c r="F1861" s="33" t="s">
        <v>32</v>
      </c>
      <c r="G1861" s="50"/>
    </row>
    <row r="1862" spans="1:7" ht="15.75" thickBot="1" x14ac:dyDescent="0.3">
      <c r="A1862" s="39"/>
      <c r="B1862" s="35" t="s">
        <v>33</v>
      </c>
      <c r="C1862" s="52">
        <f>IF(C1861="","",IF(AND(MONTH(C1861)&gt;=1,MONTH(C1861)&lt;=3),1,IF(AND(MONTH(C1861)&gt;=4,MONTH(C1861)&lt;=6),2,IF(AND(MONTH(C1861)&gt;=7,MONTH(C1861)&lt;=9),3,4))))</f>
        <v>3</v>
      </c>
      <c r="D1862" s="39"/>
      <c r="E1862" s="35" t="s">
        <v>34</v>
      </c>
      <c r="F1862" s="33" t="s">
        <v>35</v>
      </c>
      <c r="G1862" s="50"/>
    </row>
    <row r="1863" spans="1:7" ht="15.75" thickBot="1" x14ac:dyDescent="0.3">
      <c r="A1863" s="39"/>
      <c r="B1863" s="35" t="s">
        <v>36</v>
      </c>
      <c r="C1863" s="51">
        <v>45199</v>
      </c>
      <c r="D1863" s="39"/>
      <c r="E1863" s="35" t="s">
        <v>37</v>
      </c>
      <c r="F1863" s="33" t="s">
        <v>35</v>
      </c>
      <c r="G1863" s="50"/>
    </row>
    <row r="1864" spans="1:7" ht="15.75" thickBot="1" x14ac:dyDescent="0.3">
      <c r="A1864" s="39"/>
      <c r="B1864" s="35" t="s">
        <v>33</v>
      </c>
      <c r="C1864" s="52">
        <f>IF(C1863="","",IF(AND(MONTH(C1863)&gt;=1,MONTH(C1863)&lt;=3),1,IF(AND(MONTH(C1863)&gt;=4,MONTH(C1863)&lt;=6),2,IF(AND(MONTH(C1863)&gt;=7,MONTH(C1863)&lt;=9),3,4))))</f>
        <v>3</v>
      </c>
      <c r="D1864" s="39"/>
      <c r="E1864" s="35" t="s">
        <v>38</v>
      </c>
      <c r="F1864" s="33" t="s">
        <v>35</v>
      </c>
      <c r="G1864" s="50"/>
    </row>
    <row r="1865" spans="1:7" ht="15.75" thickBot="1" x14ac:dyDescent="0.3">
      <c r="A1865" s="50"/>
      <c r="B1865" s="50"/>
      <c r="C1865" s="50"/>
      <c r="D1865" s="50"/>
      <c r="E1865" s="50"/>
      <c r="F1865" s="50"/>
      <c r="G1865" s="50"/>
    </row>
    <row r="1866" spans="1:7" ht="15.75" thickBot="1" x14ac:dyDescent="0.3">
      <c r="A1866" s="41" t="s">
        <v>39</v>
      </c>
      <c r="B1866" s="41" t="s">
        <v>40</v>
      </c>
      <c r="C1866" s="41" t="s">
        <v>41</v>
      </c>
      <c r="D1866" s="41" t="s">
        <v>42</v>
      </c>
      <c r="E1866" s="41" t="s">
        <v>43</v>
      </c>
      <c r="F1866" s="41" t="s">
        <v>44</v>
      </c>
      <c r="G1866" s="50"/>
    </row>
    <row r="1867" spans="1:7" ht="33.75" x14ac:dyDescent="0.25">
      <c r="A1867" s="42">
        <v>80121704</v>
      </c>
      <c r="B1867" s="43" t="str">
        <f ca="1">IFERROR(INDEX(UNSPSCDes,MATCH(INDIRECT(ADDRESS(ROW(),COLUMN()-1,4)),UNSPSCCode,0)),"")</f>
        <v>Servicios legales sobre contratos</v>
      </c>
      <c r="C1867" s="42" t="s">
        <v>46</v>
      </c>
      <c r="D1867" s="42">
        <v>7</v>
      </c>
      <c r="E1867" s="45">
        <v>5000</v>
      </c>
      <c r="F1867" s="46">
        <f ca="1">INDIRECT(ADDRESS(ROW(),COLUMN()-2,4))*INDIRECT(ADDRESS(ROW(),COLUMN()-1,4))</f>
        <v>35000</v>
      </c>
      <c r="G1867" s="50"/>
    </row>
    <row r="1868" spans="1:7" x14ac:dyDescent="0.25">
      <c r="A1868" s="50"/>
      <c r="B1868" s="50"/>
      <c r="C1868" s="50"/>
      <c r="D1868" s="50"/>
      <c r="E1868" s="54" t="s">
        <v>49</v>
      </c>
      <c r="F1868" s="49">
        <f ca="1">SUM(Table3132[MONTO TOTAL ESTIMADO])</f>
        <v>35000</v>
      </c>
      <c r="G1868" s="50"/>
    </row>
    <row r="1869" spans="1:7" ht="15.75" thickBot="1" x14ac:dyDescent="0.3">
      <c r="A1869" s="64"/>
      <c r="B1869" s="64"/>
      <c r="C1869" s="64"/>
      <c r="D1869" s="64"/>
      <c r="E1869" s="64"/>
      <c r="F1869" s="64"/>
      <c r="G1869" s="64"/>
    </row>
    <row r="1870" spans="1:7" ht="34.5" thickBot="1" x14ac:dyDescent="0.3">
      <c r="A1870" s="31" t="s">
        <v>18</v>
      </c>
      <c r="B1870" s="31" t="s">
        <v>19</v>
      </c>
      <c r="C1870" s="31" t="s">
        <v>20</v>
      </c>
      <c r="D1870" s="31" t="s">
        <v>21</v>
      </c>
      <c r="E1870" s="31" t="s">
        <v>22</v>
      </c>
      <c r="F1870" s="31" t="s">
        <v>23</v>
      </c>
      <c r="G1870" s="50"/>
    </row>
    <row r="1871" spans="1:7" ht="15.75" thickBot="1" x14ac:dyDescent="0.3">
      <c r="A1871" s="33" t="s">
        <v>111</v>
      </c>
      <c r="B1871" s="33" t="s">
        <v>112</v>
      </c>
      <c r="C1871" s="33" t="s">
        <v>74</v>
      </c>
      <c r="D1871" s="33" t="s">
        <v>52</v>
      </c>
      <c r="E1871" s="33" t="s">
        <v>56</v>
      </c>
      <c r="F1871" s="33"/>
      <c r="G1871" s="50"/>
    </row>
    <row r="1872" spans="1:7" ht="15.75" thickBot="1" x14ac:dyDescent="0.3">
      <c r="A1872" s="34" t="s">
        <v>28</v>
      </c>
      <c r="B1872" s="35" t="s">
        <v>29</v>
      </c>
      <c r="C1872" s="51">
        <v>45178</v>
      </c>
      <c r="D1872" s="34" t="s">
        <v>30</v>
      </c>
      <c r="E1872" s="35" t="s">
        <v>31</v>
      </c>
      <c r="F1872" s="33" t="s">
        <v>32</v>
      </c>
      <c r="G1872" s="50"/>
    </row>
    <row r="1873" spans="1:7" ht="15.75" thickBot="1" x14ac:dyDescent="0.3">
      <c r="A1873" s="39"/>
      <c r="B1873" s="35" t="s">
        <v>33</v>
      </c>
      <c r="C1873" s="52">
        <f>IF(C1872="","",IF(AND(MONTH(C1872)&gt;=1,MONTH(C1872)&lt;=3),1,IF(AND(MONTH(C1872)&gt;=4,MONTH(C1872)&lt;=6),2,IF(AND(MONTH(C1872)&gt;=7,MONTH(C1872)&lt;=9),3,4))))</f>
        <v>3</v>
      </c>
      <c r="D1873" s="39"/>
      <c r="E1873" s="35" t="s">
        <v>34</v>
      </c>
      <c r="F1873" s="33" t="s">
        <v>35</v>
      </c>
      <c r="G1873" s="50"/>
    </row>
    <row r="1874" spans="1:7" ht="15.75" thickBot="1" x14ac:dyDescent="0.3">
      <c r="A1874" s="39"/>
      <c r="B1874" s="35" t="s">
        <v>36</v>
      </c>
      <c r="C1874" s="51">
        <v>45189</v>
      </c>
      <c r="D1874" s="39"/>
      <c r="E1874" s="35" t="s">
        <v>37</v>
      </c>
      <c r="F1874" s="33" t="s">
        <v>35</v>
      </c>
      <c r="G1874" s="50"/>
    </row>
    <row r="1875" spans="1:7" ht="15.75" thickBot="1" x14ac:dyDescent="0.3">
      <c r="A1875" s="39"/>
      <c r="B1875" s="35" t="s">
        <v>33</v>
      </c>
      <c r="C1875" s="52">
        <f>IF(C1874="","",IF(AND(MONTH(C1874)&gt;=1,MONTH(C1874)&lt;=3),1,IF(AND(MONTH(C1874)&gt;=4,MONTH(C1874)&lt;=6),2,IF(AND(MONTH(C1874)&gt;=7,MONTH(C1874)&lt;=9),3,4))))</f>
        <v>3</v>
      </c>
      <c r="D1875" s="39"/>
      <c r="E1875" s="35" t="s">
        <v>38</v>
      </c>
      <c r="F1875" s="33" t="s">
        <v>35</v>
      </c>
      <c r="G1875" s="50"/>
    </row>
    <row r="1876" spans="1:7" ht="15.75" thickBot="1" x14ac:dyDescent="0.3">
      <c r="A1876" s="50"/>
      <c r="B1876" s="50"/>
      <c r="C1876" s="50"/>
      <c r="D1876" s="50"/>
      <c r="E1876" s="50"/>
      <c r="F1876" s="50"/>
      <c r="G1876" s="50"/>
    </row>
    <row r="1877" spans="1:7" ht="15.75" thickBot="1" x14ac:dyDescent="0.3">
      <c r="A1877" s="41" t="s">
        <v>39</v>
      </c>
      <c r="B1877" s="41" t="s">
        <v>40</v>
      </c>
      <c r="C1877" s="41" t="s">
        <v>41</v>
      </c>
      <c r="D1877" s="41" t="s">
        <v>42</v>
      </c>
      <c r="E1877" s="41" t="s">
        <v>43</v>
      </c>
      <c r="F1877" s="41" t="s">
        <v>44</v>
      </c>
      <c r="G1877" s="50"/>
    </row>
    <row r="1878" spans="1:7" ht="56.25" x14ac:dyDescent="0.25">
      <c r="A1878" s="42">
        <v>81111812</v>
      </c>
      <c r="B1878" s="43" t="str">
        <f ca="1">IFERROR(INDEX(UNSPSCDes,MATCH(INDIRECT(ADDRESS(ROW(),COLUMN()-1,4)),UNSPSCCode,0)),"")</f>
        <v>Servicio de mantenimiento o soporte del hardware del computador</v>
      </c>
      <c r="C1878" s="42" t="s">
        <v>46</v>
      </c>
      <c r="D1878" s="42">
        <v>1</v>
      </c>
      <c r="E1878" s="45">
        <v>50000</v>
      </c>
      <c r="F1878" s="46">
        <f ca="1">INDIRECT(ADDRESS(ROW(),COLUMN()-2,4))*INDIRECT(ADDRESS(ROW(),COLUMN()-1,4))</f>
        <v>50000</v>
      </c>
      <c r="G1878" s="50"/>
    </row>
    <row r="1879" spans="1:7" x14ac:dyDescent="0.25">
      <c r="A1879" s="50"/>
      <c r="B1879" s="50"/>
      <c r="C1879" s="50"/>
      <c r="D1879" s="50"/>
      <c r="E1879" s="54" t="s">
        <v>49</v>
      </c>
      <c r="F1879" s="49">
        <f ca="1">SUM(Table3133[MONTO TOTAL ESTIMADO])</f>
        <v>50000</v>
      </c>
      <c r="G1879" s="50"/>
    </row>
    <row r="1880" spans="1:7" ht="15.75" thickBot="1" x14ac:dyDescent="0.3">
      <c r="A1880" s="64"/>
      <c r="B1880" s="64"/>
      <c r="C1880" s="64"/>
      <c r="D1880" s="64"/>
      <c r="E1880" s="64"/>
      <c r="F1880" s="64"/>
      <c r="G1880" s="64"/>
    </row>
    <row r="1881" spans="1:7" ht="34.5" thickBot="1" x14ac:dyDescent="0.3">
      <c r="A1881" s="31" t="s">
        <v>18</v>
      </c>
      <c r="B1881" s="31" t="s">
        <v>19</v>
      </c>
      <c r="C1881" s="31" t="s">
        <v>20</v>
      </c>
      <c r="D1881" s="31" t="s">
        <v>21</v>
      </c>
      <c r="E1881" s="31" t="s">
        <v>22</v>
      </c>
      <c r="F1881" s="31" t="s">
        <v>23</v>
      </c>
      <c r="G1881" s="50"/>
    </row>
    <row r="1882" spans="1:7" ht="15.75" thickBot="1" x14ac:dyDescent="0.3">
      <c r="A1882" s="33" t="s">
        <v>80</v>
      </c>
      <c r="B1882" s="33" t="s">
        <v>25</v>
      </c>
      <c r="C1882" s="33" t="s">
        <v>26</v>
      </c>
      <c r="D1882" s="33" t="s">
        <v>52</v>
      </c>
      <c r="E1882" s="33" t="s">
        <v>62</v>
      </c>
      <c r="F1882" s="33"/>
      <c r="G1882" s="50"/>
    </row>
    <row r="1883" spans="1:7" ht="15.75" thickBot="1" x14ac:dyDescent="0.3">
      <c r="A1883" s="34" t="s">
        <v>28</v>
      </c>
      <c r="B1883" s="35" t="s">
        <v>29</v>
      </c>
      <c r="C1883" s="51">
        <v>45201</v>
      </c>
      <c r="D1883" s="34" t="s">
        <v>30</v>
      </c>
      <c r="E1883" s="35" t="s">
        <v>31</v>
      </c>
      <c r="F1883" s="33" t="s">
        <v>32</v>
      </c>
      <c r="G1883" s="50"/>
    </row>
    <row r="1884" spans="1:7" ht="15.75" thickBot="1" x14ac:dyDescent="0.3">
      <c r="A1884" s="39"/>
      <c r="B1884" s="35" t="s">
        <v>33</v>
      </c>
      <c r="C1884" s="52">
        <f>IF(C1883="","",IF(AND(MONTH(C1883)&gt;=1,MONTH(C1883)&lt;=3),1,IF(AND(MONTH(C1883)&gt;=4,MONTH(C1883)&lt;=6),2,IF(AND(MONTH(C1883)&gt;=7,MONTH(C1883)&lt;=9),3,4))))</f>
        <v>4</v>
      </c>
      <c r="D1884" s="39"/>
      <c r="E1884" s="35" t="s">
        <v>34</v>
      </c>
      <c r="F1884" s="33" t="s">
        <v>35</v>
      </c>
      <c r="G1884" s="50"/>
    </row>
    <row r="1885" spans="1:7" ht="15.75" thickBot="1" x14ac:dyDescent="0.3">
      <c r="A1885" s="39"/>
      <c r="B1885" s="35" t="s">
        <v>36</v>
      </c>
      <c r="C1885" s="51">
        <v>45210</v>
      </c>
      <c r="D1885" s="39"/>
      <c r="E1885" s="35" t="s">
        <v>37</v>
      </c>
      <c r="F1885" s="33" t="s">
        <v>35</v>
      </c>
      <c r="G1885" s="50"/>
    </row>
    <row r="1886" spans="1:7" ht="15.75" thickBot="1" x14ac:dyDescent="0.3">
      <c r="A1886" s="39"/>
      <c r="B1886" s="35" t="s">
        <v>33</v>
      </c>
      <c r="C1886" s="52">
        <f>IF(C1885="","",IF(AND(MONTH(C1885)&gt;=1,MONTH(C1885)&lt;=3),1,IF(AND(MONTH(C1885)&gt;=4,MONTH(C1885)&lt;=6),2,IF(AND(MONTH(C1885)&gt;=7,MONTH(C1885)&lt;=9),3,4))))</f>
        <v>4</v>
      </c>
      <c r="D1886" s="39"/>
      <c r="E1886" s="35" t="s">
        <v>38</v>
      </c>
      <c r="F1886" s="33" t="s">
        <v>35</v>
      </c>
      <c r="G1886" s="50"/>
    </row>
    <row r="1887" spans="1:7" ht="15.75" thickBot="1" x14ac:dyDescent="0.3">
      <c r="A1887" s="50"/>
      <c r="B1887" s="50"/>
      <c r="C1887" s="50"/>
      <c r="D1887" s="50"/>
      <c r="E1887" s="50"/>
      <c r="F1887" s="50"/>
      <c r="G1887" s="50"/>
    </row>
    <row r="1888" spans="1:7" ht="15.75" thickBot="1" x14ac:dyDescent="0.3">
      <c r="A1888" s="41" t="s">
        <v>39</v>
      </c>
      <c r="B1888" s="41" t="s">
        <v>40</v>
      </c>
      <c r="C1888" s="41" t="s">
        <v>41</v>
      </c>
      <c r="D1888" s="41" t="s">
        <v>42</v>
      </c>
      <c r="E1888" s="41" t="s">
        <v>43</v>
      </c>
      <c r="F1888" s="41" t="s">
        <v>44</v>
      </c>
      <c r="G1888" s="50"/>
    </row>
    <row r="1889" spans="1:7" ht="33.75" x14ac:dyDescent="0.25">
      <c r="A1889" s="42">
        <v>60121104</v>
      </c>
      <c r="B1889" s="43" t="str">
        <f ca="1">IFERROR(INDEX(UNSPSCDes,MATCH(INDIRECT(ADDRESS(ROW(),COLUMN()-1,4)),UNSPSCCode,0)),"")</f>
        <v>Papel bond para para dibujo</v>
      </c>
      <c r="C1889" s="42" t="s">
        <v>45</v>
      </c>
      <c r="D1889" s="42">
        <v>10</v>
      </c>
      <c r="E1889" s="45">
        <v>2237.2800000000002</v>
      </c>
      <c r="F1889" s="46">
        <f ca="1">INDIRECT(ADDRESS(ROW(),COLUMN()-2,4))*INDIRECT(ADDRESS(ROW(),COLUMN()-1,4))</f>
        <v>22372.800000000003</v>
      </c>
      <c r="G1889" s="50"/>
    </row>
    <row r="1890" spans="1:7" x14ac:dyDescent="0.25">
      <c r="A1890" s="50"/>
      <c r="B1890" s="50"/>
      <c r="C1890" s="50"/>
      <c r="D1890" s="50"/>
      <c r="E1890" s="54" t="s">
        <v>49</v>
      </c>
      <c r="F1890" s="49">
        <f ca="1">SUM(Table3105[MONTO TOTAL ESTIMADO])</f>
        <v>22372.800000000003</v>
      </c>
      <c r="G1890" s="50"/>
    </row>
    <row r="1891" spans="1:7" ht="15.75" thickBot="1" x14ac:dyDescent="0.3">
      <c r="A1891" s="64"/>
      <c r="B1891" s="64"/>
      <c r="C1891" s="64"/>
      <c r="D1891" s="64"/>
      <c r="E1891" s="64"/>
      <c r="F1891" s="64"/>
      <c r="G1891" s="64"/>
    </row>
    <row r="1892" spans="1:7" ht="34.5" thickBot="1" x14ac:dyDescent="0.3">
      <c r="A1892" s="31" t="s">
        <v>18</v>
      </c>
      <c r="B1892" s="31" t="s">
        <v>19</v>
      </c>
      <c r="C1892" s="31" t="s">
        <v>20</v>
      </c>
      <c r="D1892" s="31" t="s">
        <v>21</v>
      </c>
      <c r="E1892" s="31" t="s">
        <v>22</v>
      </c>
      <c r="F1892" s="31" t="s">
        <v>23</v>
      </c>
      <c r="G1892" s="50"/>
    </row>
    <row r="1893" spans="1:7" ht="15.75" thickBot="1" x14ac:dyDescent="0.3">
      <c r="A1893" s="33" t="s">
        <v>83</v>
      </c>
      <c r="B1893" s="33" t="s">
        <v>84</v>
      </c>
      <c r="C1893" s="33" t="s">
        <v>74</v>
      </c>
      <c r="D1893" s="33" t="s">
        <v>52</v>
      </c>
      <c r="E1893" s="33" t="s">
        <v>53</v>
      </c>
      <c r="F1893" s="33"/>
      <c r="G1893" s="50"/>
    </row>
    <row r="1894" spans="1:7" ht="15.75" thickBot="1" x14ac:dyDescent="0.3">
      <c r="A1894" s="34" t="s">
        <v>28</v>
      </c>
      <c r="B1894" s="35" t="s">
        <v>29</v>
      </c>
      <c r="C1894" s="51">
        <v>45203</v>
      </c>
      <c r="D1894" s="34" t="s">
        <v>30</v>
      </c>
      <c r="E1894" s="35" t="s">
        <v>31</v>
      </c>
      <c r="F1894" s="33" t="s">
        <v>32</v>
      </c>
      <c r="G1894" s="50"/>
    </row>
    <row r="1895" spans="1:7" ht="15.75" thickBot="1" x14ac:dyDescent="0.3">
      <c r="A1895" s="39"/>
      <c r="B1895" s="35" t="s">
        <v>33</v>
      </c>
      <c r="C1895" s="52">
        <f>IF(C1894="","",IF(AND(MONTH(C1894)&gt;=1,MONTH(C1894)&lt;=3),1,IF(AND(MONTH(C1894)&gt;=4,MONTH(C1894)&lt;=6),2,IF(AND(MONTH(C1894)&gt;=7,MONTH(C1894)&lt;=9),3,4))))</f>
        <v>4</v>
      </c>
      <c r="D1895" s="39"/>
      <c r="E1895" s="35" t="s">
        <v>34</v>
      </c>
      <c r="F1895" s="33" t="s">
        <v>35</v>
      </c>
      <c r="G1895" s="50"/>
    </row>
    <row r="1896" spans="1:7" ht="15.75" thickBot="1" x14ac:dyDescent="0.3">
      <c r="A1896" s="39"/>
      <c r="B1896" s="35" t="s">
        <v>36</v>
      </c>
      <c r="C1896" s="51">
        <v>45212</v>
      </c>
      <c r="D1896" s="39"/>
      <c r="E1896" s="35" t="s">
        <v>37</v>
      </c>
      <c r="F1896" s="33" t="s">
        <v>35</v>
      </c>
      <c r="G1896" s="50"/>
    </row>
    <row r="1897" spans="1:7" ht="15.75" thickBot="1" x14ac:dyDescent="0.3">
      <c r="A1897" s="39"/>
      <c r="B1897" s="35" t="s">
        <v>33</v>
      </c>
      <c r="C1897" s="52">
        <f>IF(C1896="","",IF(AND(MONTH(C1896)&gt;=1,MONTH(C1896)&lt;=3),1,IF(AND(MONTH(C1896)&gt;=4,MONTH(C1896)&lt;=6),2,IF(AND(MONTH(C1896)&gt;=7,MONTH(C1896)&lt;=9),3,4))))</f>
        <v>4</v>
      </c>
      <c r="D1897" s="39"/>
      <c r="E1897" s="35" t="s">
        <v>38</v>
      </c>
      <c r="F1897" s="33" t="s">
        <v>35</v>
      </c>
      <c r="G1897" s="50"/>
    </row>
    <row r="1898" spans="1:7" ht="15.75" thickBot="1" x14ac:dyDescent="0.3">
      <c r="A1898" s="50"/>
      <c r="B1898" s="50"/>
      <c r="C1898" s="50"/>
      <c r="D1898" s="50"/>
      <c r="E1898" s="50"/>
      <c r="F1898" s="50"/>
      <c r="G1898" s="50"/>
    </row>
    <row r="1899" spans="1:7" ht="15.75" thickBot="1" x14ac:dyDescent="0.3">
      <c r="A1899" s="41" t="s">
        <v>39</v>
      </c>
      <c r="B1899" s="41" t="s">
        <v>40</v>
      </c>
      <c r="C1899" s="41" t="s">
        <v>41</v>
      </c>
      <c r="D1899" s="41" t="s">
        <v>42</v>
      </c>
      <c r="E1899" s="41" t="s">
        <v>43</v>
      </c>
      <c r="F1899" s="41" t="s">
        <v>44</v>
      </c>
      <c r="G1899" s="50"/>
    </row>
    <row r="1900" spans="1:7" ht="22.5" x14ac:dyDescent="0.25">
      <c r="A1900" s="42">
        <v>82121503</v>
      </c>
      <c r="B1900" s="43" t="str">
        <f ca="1">IFERROR(INDEX(UNSPSCDes,MATCH(INDIRECT(ADDRESS(ROW(),COLUMN()-1,4)),UNSPSCCode,0)),"")</f>
        <v>Impresión digital</v>
      </c>
      <c r="C1900" s="42" t="s">
        <v>46</v>
      </c>
      <c r="D1900" s="42">
        <v>2</v>
      </c>
      <c r="E1900" s="45">
        <v>1500</v>
      </c>
      <c r="F1900" s="46">
        <f ca="1">INDIRECT(ADDRESS(ROW(),COLUMN()-2,4))*INDIRECT(ADDRESS(ROW(),COLUMN()-1,4))</f>
        <v>3000</v>
      </c>
      <c r="G1900" s="50"/>
    </row>
    <row r="1901" spans="1:7" ht="33.75" x14ac:dyDescent="0.25">
      <c r="A1901" s="42">
        <v>80121704</v>
      </c>
      <c r="B1901" s="43" t="str">
        <f ca="1">IFERROR(INDEX(UNSPSCDes,MATCH(INDIRECT(ADDRESS(ROW(),COLUMN()-1,4)),UNSPSCCode,0)),"")</f>
        <v>Servicios legales sobre contratos</v>
      </c>
      <c r="C1901" s="42" t="s">
        <v>46</v>
      </c>
      <c r="D1901" s="42">
        <v>15</v>
      </c>
      <c r="E1901" s="45">
        <v>5000</v>
      </c>
      <c r="F1901" s="46">
        <f ca="1">INDIRECT(ADDRESS(ROW(),COLUMN()-2,4))*INDIRECT(ADDRESS(ROW(),COLUMN()-1,4))</f>
        <v>75000</v>
      </c>
      <c r="G1901" s="50"/>
    </row>
    <row r="1902" spans="1:7" ht="22.5" x14ac:dyDescent="0.25">
      <c r="A1902" s="42">
        <v>82121503</v>
      </c>
      <c r="B1902" s="43" t="str">
        <f ca="1">IFERROR(INDEX(UNSPSCDes,MATCH(INDIRECT(ADDRESS(ROW(),COLUMN()-1,4)),UNSPSCCode,0)),"")</f>
        <v>Impresión digital</v>
      </c>
      <c r="C1902" s="42" t="s">
        <v>46</v>
      </c>
      <c r="D1902" s="42">
        <v>12</v>
      </c>
      <c r="E1902" s="45">
        <v>45</v>
      </c>
      <c r="F1902" s="46">
        <f ca="1">INDIRECT(ADDRESS(ROW(),COLUMN()-2,4))*INDIRECT(ADDRESS(ROW(),COLUMN()-1,4))</f>
        <v>540</v>
      </c>
      <c r="G1902" s="50"/>
    </row>
    <row r="1903" spans="1:7" x14ac:dyDescent="0.25">
      <c r="A1903" s="50"/>
      <c r="B1903" s="50"/>
      <c r="C1903" s="50"/>
      <c r="D1903" s="50"/>
      <c r="E1903" s="54" t="s">
        <v>49</v>
      </c>
      <c r="F1903" s="49">
        <f ca="1">SUM(Table3126[MONTO TOTAL ESTIMADO])</f>
        <v>78540</v>
      </c>
      <c r="G1903" s="50"/>
    </row>
    <row r="1904" spans="1:7" ht="15.75" thickBot="1" x14ac:dyDescent="0.3">
      <c r="A1904" s="64"/>
      <c r="B1904" s="64"/>
      <c r="C1904" s="64"/>
      <c r="D1904" s="64"/>
      <c r="E1904" s="64"/>
      <c r="F1904" s="64"/>
      <c r="G1904" s="64"/>
    </row>
    <row r="1905" spans="1:7" ht="34.5" thickBot="1" x14ac:dyDescent="0.3">
      <c r="A1905" s="31" t="s">
        <v>18</v>
      </c>
      <c r="B1905" s="31" t="s">
        <v>19</v>
      </c>
      <c r="C1905" s="31" t="s">
        <v>20</v>
      </c>
      <c r="D1905" s="31" t="s">
        <v>21</v>
      </c>
      <c r="E1905" s="31" t="s">
        <v>22</v>
      </c>
      <c r="F1905" s="31" t="s">
        <v>23</v>
      </c>
      <c r="G1905" s="50"/>
    </row>
    <row r="1906" spans="1:7" ht="15.75" thickBot="1" x14ac:dyDescent="0.3">
      <c r="A1906" s="33" t="s">
        <v>135</v>
      </c>
      <c r="B1906" s="33" t="s">
        <v>133</v>
      </c>
      <c r="C1906" s="33" t="s">
        <v>74</v>
      </c>
      <c r="D1906" s="33" t="s">
        <v>52</v>
      </c>
      <c r="E1906" s="33" t="s">
        <v>53</v>
      </c>
      <c r="F1906" s="33"/>
      <c r="G1906" s="50"/>
    </row>
    <row r="1907" spans="1:7" ht="15.75" thickBot="1" x14ac:dyDescent="0.3">
      <c r="A1907" s="34" t="s">
        <v>28</v>
      </c>
      <c r="B1907" s="35" t="s">
        <v>29</v>
      </c>
      <c r="C1907" s="51">
        <v>45201</v>
      </c>
      <c r="D1907" s="34" t="s">
        <v>30</v>
      </c>
      <c r="E1907" s="35" t="s">
        <v>31</v>
      </c>
      <c r="F1907" s="33" t="s">
        <v>32</v>
      </c>
      <c r="G1907" s="50"/>
    </row>
    <row r="1908" spans="1:7" ht="15.75" thickBot="1" x14ac:dyDescent="0.3">
      <c r="A1908" s="39"/>
      <c r="B1908" s="35" t="s">
        <v>33</v>
      </c>
      <c r="C1908" s="52">
        <f>IF(C1907="","",IF(AND(MONTH(C1907)&gt;=1,MONTH(C1907)&lt;=3),1,IF(AND(MONTH(C1907)&gt;=4,MONTH(C1907)&lt;=6),2,IF(AND(MONTH(C1907)&gt;=7,MONTH(C1907)&lt;=9),3,4))))</f>
        <v>4</v>
      </c>
      <c r="D1908" s="39"/>
      <c r="E1908" s="35" t="s">
        <v>34</v>
      </c>
      <c r="F1908" s="33" t="s">
        <v>35</v>
      </c>
      <c r="G1908" s="50"/>
    </row>
    <row r="1909" spans="1:7" ht="15.75" thickBot="1" x14ac:dyDescent="0.3">
      <c r="A1909" s="39"/>
      <c r="B1909" s="35" t="s">
        <v>36</v>
      </c>
      <c r="C1909" s="51">
        <v>45209</v>
      </c>
      <c r="D1909" s="39"/>
      <c r="E1909" s="35" t="s">
        <v>37</v>
      </c>
      <c r="F1909" s="33" t="s">
        <v>35</v>
      </c>
      <c r="G1909" s="50"/>
    </row>
    <row r="1910" spans="1:7" ht="15.75" thickBot="1" x14ac:dyDescent="0.3">
      <c r="A1910" s="39"/>
      <c r="B1910" s="35" t="s">
        <v>33</v>
      </c>
      <c r="C1910" s="52">
        <f>IF(C1909="","",IF(AND(MONTH(C1909)&gt;=1,MONTH(C1909)&lt;=3),1,IF(AND(MONTH(C1909)&gt;=4,MONTH(C1909)&lt;=6),2,IF(AND(MONTH(C1909)&gt;=7,MONTH(C1909)&lt;=9),3,4))))</f>
        <v>4</v>
      </c>
      <c r="D1910" s="39"/>
      <c r="E1910" s="35" t="s">
        <v>38</v>
      </c>
      <c r="F1910" s="33" t="s">
        <v>35</v>
      </c>
      <c r="G1910" s="50"/>
    </row>
    <row r="1911" spans="1:7" ht="15.75" thickBot="1" x14ac:dyDescent="0.3">
      <c r="A1911" s="50"/>
      <c r="B1911" s="50"/>
      <c r="C1911" s="50"/>
      <c r="D1911" s="50"/>
      <c r="E1911" s="50"/>
      <c r="F1911" s="50"/>
      <c r="G1911" s="50"/>
    </row>
    <row r="1912" spans="1:7" ht="15.75" thickBot="1" x14ac:dyDescent="0.3">
      <c r="A1912" s="41" t="s">
        <v>39</v>
      </c>
      <c r="B1912" s="41" t="s">
        <v>40</v>
      </c>
      <c r="C1912" s="41" t="s">
        <v>41</v>
      </c>
      <c r="D1912" s="41" t="s">
        <v>42</v>
      </c>
      <c r="E1912" s="41" t="s">
        <v>43</v>
      </c>
      <c r="F1912" s="41" t="s">
        <v>44</v>
      </c>
      <c r="G1912" s="50"/>
    </row>
    <row r="1913" spans="1:7" ht="33.75" x14ac:dyDescent="0.25">
      <c r="A1913" s="42">
        <v>72101901</v>
      </c>
      <c r="B1913" s="43" t="str">
        <f ca="1">IFERROR(INDEX(UNSPSCDes,MATCH(INDIRECT(ADDRESS(ROW(),COLUMN()-1,4)),UNSPSCCode,0)),"")</f>
        <v>Diseño o decoración de interiores</v>
      </c>
      <c r="C1913" s="42" t="s">
        <v>46</v>
      </c>
      <c r="D1913" s="42">
        <v>1</v>
      </c>
      <c r="E1913" s="45">
        <v>10000</v>
      </c>
      <c r="F1913" s="46">
        <f ca="1">INDIRECT(ADDRESS(ROW(),COLUMN()-2,4))*INDIRECT(ADDRESS(ROW(),COLUMN()-1,4))</f>
        <v>10000</v>
      </c>
      <c r="G1913" s="50"/>
    </row>
    <row r="1914" spans="1:7" ht="33.75" x14ac:dyDescent="0.25">
      <c r="A1914" s="42">
        <v>72101901</v>
      </c>
      <c r="B1914" s="43" t="str">
        <f ca="1">IFERROR(INDEX(UNSPSCDes,MATCH(INDIRECT(ADDRESS(ROW(),COLUMN()-1,4)),UNSPSCCode,0)),"")</f>
        <v>Diseño o decoración de interiores</v>
      </c>
      <c r="C1914" s="42" t="s">
        <v>46</v>
      </c>
      <c r="D1914" s="42">
        <v>1</v>
      </c>
      <c r="E1914" s="45">
        <v>65000</v>
      </c>
      <c r="F1914" s="46">
        <f ca="1">INDIRECT(ADDRESS(ROW(),COLUMN()-2,4))*INDIRECT(ADDRESS(ROW(),COLUMN()-1,4))</f>
        <v>65000</v>
      </c>
      <c r="G1914" s="50"/>
    </row>
    <row r="1915" spans="1:7" x14ac:dyDescent="0.25">
      <c r="A1915" s="50"/>
      <c r="B1915" s="50"/>
      <c r="C1915" s="50"/>
      <c r="D1915" s="50"/>
      <c r="E1915" s="54" t="s">
        <v>49</v>
      </c>
      <c r="F1915" s="49">
        <f ca="1">SUM(Table3127[MONTO TOTAL ESTIMADO])</f>
        <v>75000</v>
      </c>
      <c r="G1915" s="50"/>
    </row>
    <row r="1916" spans="1:7" ht="15.75" thickBot="1" x14ac:dyDescent="0.3">
      <c r="A1916" s="64"/>
      <c r="B1916" s="64"/>
      <c r="C1916" s="64"/>
      <c r="D1916" s="64"/>
      <c r="E1916" s="64"/>
      <c r="F1916" s="64"/>
      <c r="G1916" s="64"/>
    </row>
    <row r="1917" spans="1:7" ht="34.5" thickBot="1" x14ac:dyDescent="0.3">
      <c r="A1917" s="31" t="s">
        <v>18</v>
      </c>
      <c r="B1917" s="31" t="s">
        <v>19</v>
      </c>
      <c r="C1917" s="31" t="s">
        <v>20</v>
      </c>
      <c r="D1917" s="31" t="s">
        <v>21</v>
      </c>
      <c r="E1917" s="31" t="s">
        <v>22</v>
      </c>
      <c r="F1917" s="31" t="s">
        <v>23</v>
      </c>
      <c r="G1917" s="50"/>
    </row>
    <row r="1918" spans="1:7" ht="15.75" thickBot="1" x14ac:dyDescent="0.3">
      <c r="A1918" s="33" t="s">
        <v>50</v>
      </c>
      <c r="B1918" s="33" t="s">
        <v>95</v>
      </c>
      <c r="C1918" s="33" t="s">
        <v>26</v>
      </c>
      <c r="D1918" s="33" t="s">
        <v>52</v>
      </c>
      <c r="E1918" s="33" t="s">
        <v>53</v>
      </c>
      <c r="F1918" s="33"/>
      <c r="G1918" s="50"/>
    </row>
    <row r="1919" spans="1:7" ht="15.75" thickBot="1" x14ac:dyDescent="0.3">
      <c r="A1919" s="34" t="s">
        <v>28</v>
      </c>
      <c r="B1919" s="35" t="s">
        <v>29</v>
      </c>
      <c r="C1919" s="51">
        <v>45205</v>
      </c>
      <c r="D1919" s="34" t="s">
        <v>30</v>
      </c>
      <c r="E1919" s="35" t="s">
        <v>31</v>
      </c>
      <c r="F1919" s="33" t="s">
        <v>32</v>
      </c>
      <c r="G1919" s="50"/>
    </row>
    <row r="1920" spans="1:7" ht="15.75" thickBot="1" x14ac:dyDescent="0.3">
      <c r="A1920" s="39"/>
      <c r="B1920" s="35" t="s">
        <v>33</v>
      </c>
      <c r="C1920" s="52">
        <f>IF(C1919="","",IF(AND(MONTH(C1919)&gt;=1,MONTH(C1919)&lt;=3),1,IF(AND(MONTH(C1919)&gt;=4,MONTH(C1919)&lt;=6),2,IF(AND(MONTH(C1919)&gt;=7,MONTH(C1919)&lt;=9),3,4))))</f>
        <v>4</v>
      </c>
      <c r="D1920" s="39"/>
      <c r="E1920" s="35" t="s">
        <v>34</v>
      </c>
      <c r="F1920" s="33" t="s">
        <v>35</v>
      </c>
      <c r="G1920" s="50"/>
    </row>
    <row r="1921" spans="1:7" ht="15.75" thickBot="1" x14ac:dyDescent="0.3">
      <c r="A1921" s="39"/>
      <c r="B1921" s="35" t="s">
        <v>36</v>
      </c>
      <c r="C1921" s="51">
        <v>45215</v>
      </c>
      <c r="D1921" s="39"/>
      <c r="E1921" s="35" t="s">
        <v>37</v>
      </c>
      <c r="F1921" s="33" t="s">
        <v>35</v>
      </c>
      <c r="G1921" s="50"/>
    </row>
    <row r="1922" spans="1:7" ht="15.75" thickBot="1" x14ac:dyDescent="0.3">
      <c r="A1922" s="39"/>
      <c r="B1922" s="35" t="s">
        <v>33</v>
      </c>
      <c r="C1922" s="52">
        <f>IF(C1921="","",IF(AND(MONTH(C1921)&gt;=1,MONTH(C1921)&lt;=3),1,IF(AND(MONTH(C1921)&gt;=4,MONTH(C1921)&lt;=6),2,IF(AND(MONTH(C1921)&gt;=7,MONTH(C1921)&lt;=9),3,4))))</f>
        <v>4</v>
      </c>
      <c r="D1922" s="39"/>
      <c r="E1922" s="35" t="s">
        <v>38</v>
      </c>
      <c r="F1922" s="33" t="s">
        <v>35</v>
      </c>
      <c r="G1922" s="50"/>
    </row>
    <row r="1923" spans="1:7" ht="15.75" thickBot="1" x14ac:dyDescent="0.3">
      <c r="A1923" s="50"/>
      <c r="B1923" s="50"/>
      <c r="C1923" s="50"/>
      <c r="D1923" s="50"/>
      <c r="E1923" s="50"/>
      <c r="F1923" s="50"/>
      <c r="G1923" s="50"/>
    </row>
    <row r="1924" spans="1:7" ht="15.75" thickBot="1" x14ac:dyDescent="0.3">
      <c r="A1924" s="41" t="s">
        <v>39</v>
      </c>
      <c r="B1924" s="41" t="s">
        <v>40</v>
      </c>
      <c r="C1924" s="41" t="s">
        <v>41</v>
      </c>
      <c r="D1924" s="41" t="s">
        <v>42</v>
      </c>
      <c r="E1924" s="41" t="s">
        <v>43</v>
      </c>
      <c r="F1924" s="41" t="s">
        <v>44</v>
      </c>
      <c r="G1924" s="50"/>
    </row>
    <row r="1925" spans="1:7" x14ac:dyDescent="0.25">
      <c r="A1925" s="42">
        <v>50201711</v>
      </c>
      <c r="B1925" s="43" t="str">
        <f ca="1">IFERROR(INDEX(UNSPSCDes,MATCH(INDIRECT(ADDRESS(ROW(),COLUMN()-1,4)),UNSPSCCode,0)),"")</f>
        <v>Té instantáneo</v>
      </c>
      <c r="C1925" s="42" t="s">
        <v>46</v>
      </c>
      <c r="D1925" s="42">
        <v>2</v>
      </c>
      <c r="E1925" s="45">
        <v>300</v>
      </c>
      <c r="F1925" s="46">
        <f ca="1">INDIRECT(ADDRESS(ROW(),COLUMN()-2,4))*INDIRECT(ADDRESS(ROW(),COLUMN()-1,4))</f>
        <v>600</v>
      </c>
      <c r="G1925" s="50"/>
    </row>
    <row r="1926" spans="1:7" x14ac:dyDescent="0.25">
      <c r="A1926" s="50"/>
      <c r="B1926" s="50"/>
      <c r="C1926" s="50"/>
      <c r="D1926" s="50"/>
      <c r="E1926" s="54" t="s">
        <v>49</v>
      </c>
      <c r="F1926" s="49">
        <f ca="1">SUM(Table3134[MONTO TOTAL ESTIMADO])</f>
        <v>600</v>
      </c>
      <c r="G1926" s="50"/>
    </row>
    <row r="1927" spans="1:7" ht="15.75" thickBot="1" x14ac:dyDescent="0.3">
      <c r="A1927" s="64"/>
      <c r="B1927" s="64"/>
      <c r="C1927" s="64"/>
      <c r="D1927" s="64"/>
      <c r="E1927" s="64"/>
      <c r="F1927" s="64"/>
      <c r="G1927" s="64"/>
    </row>
    <row r="1928" spans="1:7" ht="34.5" thickBot="1" x14ac:dyDescent="0.3">
      <c r="A1928" s="31" t="s">
        <v>18</v>
      </c>
      <c r="B1928" s="31" t="s">
        <v>19</v>
      </c>
      <c r="C1928" s="31" t="s">
        <v>20</v>
      </c>
      <c r="D1928" s="31" t="s">
        <v>21</v>
      </c>
      <c r="E1928" s="31" t="s">
        <v>22</v>
      </c>
      <c r="F1928" s="31" t="s">
        <v>23</v>
      </c>
      <c r="G1928" s="50"/>
    </row>
    <row r="1929" spans="1:7" ht="15.75" thickBot="1" x14ac:dyDescent="0.3">
      <c r="A1929" s="33" t="s">
        <v>98</v>
      </c>
      <c r="B1929" s="33" t="s">
        <v>99</v>
      </c>
      <c r="C1929" s="33" t="s">
        <v>26</v>
      </c>
      <c r="D1929" s="33" t="s">
        <v>52</v>
      </c>
      <c r="E1929" s="33" t="s">
        <v>56</v>
      </c>
      <c r="F1929" s="33"/>
      <c r="G1929" s="50"/>
    </row>
    <row r="1930" spans="1:7" ht="15.75" thickBot="1" x14ac:dyDescent="0.3">
      <c r="A1930" s="34" t="s">
        <v>28</v>
      </c>
      <c r="B1930" s="35" t="s">
        <v>29</v>
      </c>
      <c r="C1930" s="51">
        <v>45204</v>
      </c>
      <c r="D1930" s="34" t="s">
        <v>30</v>
      </c>
      <c r="E1930" s="35" t="s">
        <v>31</v>
      </c>
      <c r="F1930" s="33" t="s">
        <v>32</v>
      </c>
      <c r="G1930" s="50"/>
    </row>
    <row r="1931" spans="1:7" ht="15.75" thickBot="1" x14ac:dyDescent="0.3">
      <c r="A1931" s="39"/>
      <c r="B1931" s="35" t="s">
        <v>33</v>
      </c>
      <c r="C1931" s="52">
        <f>IF(C1930="","",IF(AND(MONTH(C1930)&gt;=1,MONTH(C1930)&lt;=3),1,IF(AND(MONTH(C1930)&gt;=4,MONTH(C1930)&lt;=6),2,IF(AND(MONTH(C1930)&gt;=7,MONTH(C1930)&lt;=9),3,4))))</f>
        <v>4</v>
      </c>
      <c r="D1931" s="39"/>
      <c r="E1931" s="35" t="s">
        <v>34</v>
      </c>
      <c r="F1931" s="33" t="s">
        <v>35</v>
      </c>
      <c r="G1931" s="50"/>
    </row>
    <row r="1932" spans="1:7" ht="15.75" thickBot="1" x14ac:dyDescent="0.3">
      <c r="A1932" s="39"/>
      <c r="B1932" s="35" t="s">
        <v>36</v>
      </c>
      <c r="C1932" s="51">
        <v>45211</v>
      </c>
      <c r="D1932" s="39"/>
      <c r="E1932" s="35" t="s">
        <v>37</v>
      </c>
      <c r="F1932" s="33" t="s">
        <v>35</v>
      </c>
      <c r="G1932" s="50"/>
    </row>
    <row r="1933" spans="1:7" ht="15.75" thickBot="1" x14ac:dyDescent="0.3">
      <c r="A1933" s="39"/>
      <c r="B1933" s="35" t="s">
        <v>33</v>
      </c>
      <c r="C1933" s="52">
        <f>IF(C1932="","",IF(AND(MONTH(C1932)&gt;=1,MONTH(C1932)&lt;=3),1,IF(AND(MONTH(C1932)&gt;=4,MONTH(C1932)&lt;=6),2,IF(AND(MONTH(C1932)&gt;=7,MONTH(C1932)&lt;=9),3,4))))</f>
        <v>4</v>
      </c>
      <c r="D1933" s="39"/>
      <c r="E1933" s="35" t="s">
        <v>38</v>
      </c>
      <c r="F1933" s="33" t="s">
        <v>35</v>
      </c>
      <c r="G1933" s="50"/>
    </row>
    <row r="1934" spans="1:7" ht="15.75" thickBot="1" x14ac:dyDescent="0.3">
      <c r="A1934" s="50"/>
      <c r="B1934" s="50"/>
      <c r="C1934" s="50"/>
      <c r="D1934" s="50"/>
      <c r="E1934" s="50"/>
      <c r="F1934" s="50"/>
      <c r="G1934" s="50"/>
    </row>
    <row r="1935" spans="1:7" ht="15.75" thickBot="1" x14ac:dyDescent="0.3">
      <c r="A1935" s="41" t="s">
        <v>39</v>
      </c>
      <c r="B1935" s="41" t="s">
        <v>40</v>
      </c>
      <c r="C1935" s="41" t="s">
        <v>41</v>
      </c>
      <c r="D1935" s="41" t="s">
        <v>42</v>
      </c>
      <c r="E1935" s="41" t="s">
        <v>43</v>
      </c>
      <c r="F1935" s="41" t="s">
        <v>44</v>
      </c>
      <c r="G1935" s="50"/>
    </row>
    <row r="1936" spans="1:7" ht="33.75" x14ac:dyDescent="0.25">
      <c r="A1936" s="42">
        <v>42142603</v>
      </c>
      <c r="B1936" s="43" t="str">
        <f ca="1">IFERROR(INDEX(UNSPSCDes,MATCH(INDIRECT(ADDRESS(ROW(),COLUMN()-1,4)),UNSPSCCode,0)),"")</f>
        <v>Jeringas de cartucho para uso médico</v>
      </c>
      <c r="C1936" s="42" t="s">
        <v>45</v>
      </c>
      <c r="D1936" s="42">
        <v>1</v>
      </c>
      <c r="E1936" s="45">
        <v>282</v>
      </c>
      <c r="F1936" s="46">
        <f ca="1">INDIRECT(ADDRESS(ROW(),COLUMN()-2,4))*INDIRECT(ADDRESS(ROW(),COLUMN()-1,4))</f>
        <v>282</v>
      </c>
      <c r="G1936" s="50"/>
    </row>
    <row r="1937" spans="1:7" x14ac:dyDescent="0.25">
      <c r="A1937" s="50"/>
      <c r="B1937" s="50"/>
      <c r="C1937" s="50"/>
      <c r="D1937" s="50"/>
      <c r="E1937" s="54" t="s">
        <v>49</v>
      </c>
      <c r="F1937" s="49">
        <f ca="1">SUM(Table3135[MONTO TOTAL ESTIMADO])</f>
        <v>282</v>
      </c>
      <c r="G1937" s="50"/>
    </row>
    <row r="1938" spans="1:7" ht="15.75" thickBot="1" x14ac:dyDescent="0.3">
      <c r="A1938" s="64"/>
      <c r="B1938" s="64"/>
      <c r="C1938" s="64"/>
      <c r="D1938" s="64"/>
      <c r="E1938" s="64"/>
      <c r="F1938" s="64"/>
      <c r="G1938" s="64"/>
    </row>
    <row r="1939" spans="1:7" ht="34.5" thickBot="1" x14ac:dyDescent="0.3">
      <c r="A1939" s="31" t="s">
        <v>18</v>
      </c>
      <c r="B1939" s="31" t="s">
        <v>19</v>
      </c>
      <c r="C1939" s="31" t="s">
        <v>20</v>
      </c>
      <c r="D1939" s="31" t="s">
        <v>21</v>
      </c>
      <c r="E1939" s="31" t="s">
        <v>22</v>
      </c>
      <c r="F1939" s="31" t="s">
        <v>23</v>
      </c>
      <c r="G1939" s="50"/>
    </row>
    <row r="1940" spans="1:7" ht="15.75" thickBot="1" x14ac:dyDescent="0.3">
      <c r="A1940" s="33" t="s">
        <v>100</v>
      </c>
      <c r="B1940" s="33" t="s">
        <v>100</v>
      </c>
      <c r="C1940" s="33" t="s">
        <v>74</v>
      </c>
      <c r="D1940" s="33" t="s">
        <v>52</v>
      </c>
      <c r="E1940" s="33" t="s">
        <v>56</v>
      </c>
      <c r="F1940" s="33"/>
      <c r="G1940" s="50"/>
    </row>
    <row r="1941" spans="1:7" ht="15.75" thickBot="1" x14ac:dyDescent="0.3">
      <c r="A1941" s="34" t="s">
        <v>28</v>
      </c>
      <c r="B1941" s="35" t="s">
        <v>29</v>
      </c>
      <c r="C1941" s="51">
        <v>45212</v>
      </c>
      <c r="D1941" s="34" t="s">
        <v>30</v>
      </c>
      <c r="E1941" s="35" t="s">
        <v>31</v>
      </c>
      <c r="F1941" s="33" t="s">
        <v>32</v>
      </c>
      <c r="G1941" s="50"/>
    </row>
    <row r="1942" spans="1:7" ht="15.75" thickBot="1" x14ac:dyDescent="0.3">
      <c r="A1942" s="39"/>
      <c r="B1942" s="35" t="s">
        <v>33</v>
      </c>
      <c r="C1942" s="52">
        <f>IF(C1941="","",IF(AND(MONTH(C1941)&gt;=1,MONTH(C1941)&lt;=3),1,IF(AND(MONTH(C1941)&gt;=4,MONTH(C1941)&lt;=6),2,IF(AND(MONTH(C1941)&gt;=7,MONTH(C1941)&lt;=9),3,4))))</f>
        <v>4</v>
      </c>
      <c r="D1942" s="39"/>
      <c r="E1942" s="35" t="s">
        <v>34</v>
      </c>
      <c r="F1942" s="33" t="s">
        <v>35</v>
      </c>
      <c r="G1942" s="50"/>
    </row>
    <row r="1943" spans="1:7" ht="15.75" thickBot="1" x14ac:dyDescent="0.3">
      <c r="A1943" s="39"/>
      <c r="B1943" s="35" t="s">
        <v>36</v>
      </c>
      <c r="C1943" s="51">
        <v>45220</v>
      </c>
      <c r="D1943" s="39"/>
      <c r="E1943" s="35" t="s">
        <v>37</v>
      </c>
      <c r="F1943" s="33" t="s">
        <v>35</v>
      </c>
      <c r="G1943" s="50"/>
    </row>
    <row r="1944" spans="1:7" ht="15.75" thickBot="1" x14ac:dyDescent="0.3">
      <c r="A1944" s="39"/>
      <c r="B1944" s="35" t="s">
        <v>33</v>
      </c>
      <c r="C1944" s="52">
        <f>IF(C1943="","",IF(AND(MONTH(C1943)&gt;=1,MONTH(C1943)&lt;=3),1,IF(AND(MONTH(C1943)&gt;=4,MONTH(C1943)&lt;=6),2,IF(AND(MONTH(C1943)&gt;=7,MONTH(C1943)&lt;=9),3,4))))</f>
        <v>4</v>
      </c>
      <c r="D1944" s="39"/>
      <c r="E1944" s="35" t="s">
        <v>38</v>
      </c>
      <c r="F1944" s="33" t="s">
        <v>35</v>
      </c>
      <c r="G1944" s="50"/>
    </row>
    <row r="1945" spans="1:7" ht="15.75" thickBot="1" x14ac:dyDescent="0.3">
      <c r="A1945" s="50"/>
      <c r="B1945" s="50"/>
      <c r="C1945" s="50"/>
      <c r="D1945" s="50"/>
      <c r="E1945" s="50"/>
      <c r="F1945" s="50"/>
      <c r="G1945" s="50"/>
    </row>
    <row r="1946" spans="1:7" ht="15.75" thickBot="1" x14ac:dyDescent="0.3">
      <c r="A1946" s="41" t="s">
        <v>39</v>
      </c>
      <c r="B1946" s="41" t="s">
        <v>40</v>
      </c>
      <c r="C1946" s="41" t="s">
        <v>41</v>
      </c>
      <c r="D1946" s="41" t="s">
        <v>42</v>
      </c>
      <c r="E1946" s="41" t="s">
        <v>43</v>
      </c>
      <c r="F1946" s="41" t="s">
        <v>44</v>
      </c>
      <c r="G1946" s="50"/>
    </row>
    <row r="1947" spans="1:7" ht="22.5" x14ac:dyDescent="0.25">
      <c r="A1947" s="42">
        <v>82101504</v>
      </c>
      <c r="B1947" s="43" t="str">
        <f ca="1">IFERROR(INDEX(UNSPSCDes,MATCH(INDIRECT(ADDRESS(ROW(),COLUMN()-1,4)),UNSPSCCode,0)),"")</f>
        <v>Publicidad en periódicos</v>
      </c>
      <c r="C1947" s="42" t="s">
        <v>46</v>
      </c>
      <c r="D1947" s="42">
        <v>2</v>
      </c>
      <c r="E1947" s="45">
        <v>20000</v>
      </c>
      <c r="F1947" s="46">
        <f ca="1">INDIRECT(ADDRESS(ROW(),COLUMN()-2,4))*INDIRECT(ADDRESS(ROW(),COLUMN()-1,4))</f>
        <v>40000</v>
      </c>
      <c r="G1947" s="50"/>
    </row>
    <row r="1948" spans="1:7" x14ac:dyDescent="0.25">
      <c r="A1948" s="50"/>
      <c r="B1948" s="50"/>
      <c r="C1948" s="50"/>
      <c r="D1948" s="50"/>
      <c r="E1948" s="54" t="s">
        <v>49</v>
      </c>
      <c r="F1948" s="49">
        <f ca="1">SUM(Table3136[MONTO TOTAL ESTIMADO])</f>
        <v>40000</v>
      </c>
      <c r="G1948" s="50"/>
    </row>
    <row r="1949" spans="1:7" ht="15.75" thickBot="1" x14ac:dyDescent="0.3">
      <c r="A1949" s="64"/>
      <c r="B1949" s="64"/>
      <c r="C1949" s="64"/>
      <c r="D1949" s="64"/>
      <c r="E1949" s="64"/>
      <c r="F1949" s="64"/>
      <c r="G1949" s="64"/>
    </row>
    <row r="1950" spans="1:7" ht="34.5" thickBot="1" x14ac:dyDescent="0.3">
      <c r="A1950" s="31" t="s">
        <v>18</v>
      </c>
      <c r="B1950" s="31" t="s">
        <v>19</v>
      </c>
      <c r="C1950" s="31" t="s">
        <v>20</v>
      </c>
      <c r="D1950" s="31" t="s">
        <v>21</v>
      </c>
      <c r="E1950" s="31" t="s">
        <v>22</v>
      </c>
      <c r="F1950" s="31" t="s">
        <v>23</v>
      </c>
      <c r="G1950" s="50"/>
    </row>
    <row r="1951" spans="1:7" ht="15.75" thickBot="1" x14ac:dyDescent="0.3">
      <c r="A1951" s="33" t="s">
        <v>98</v>
      </c>
      <c r="B1951" s="33" t="s">
        <v>99</v>
      </c>
      <c r="C1951" s="33" t="s">
        <v>26</v>
      </c>
      <c r="D1951" s="33" t="s">
        <v>52</v>
      </c>
      <c r="E1951" s="33" t="s">
        <v>56</v>
      </c>
      <c r="F1951" s="33"/>
      <c r="G1951" s="50"/>
    </row>
    <row r="1952" spans="1:7" ht="15.75" thickBot="1" x14ac:dyDescent="0.3">
      <c r="A1952" s="34" t="s">
        <v>28</v>
      </c>
      <c r="B1952" s="35" t="s">
        <v>29</v>
      </c>
      <c r="C1952" s="51">
        <v>45208</v>
      </c>
      <c r="D1952" s="34" t="s">
        <v>30</v>
      </c>
      <c r="E1952" s="35" t="s">
        <v>31</v>
      </c>
      <c r="F1952" s="33" t="s">
        <v>32</v>
      </c>
      <c r="G1952" s="50"/>
    </row>
    <row r="1953" spans="1:7" ht="15.75" thickBot="1" x14ac:dyDescent="0.3">
      <c r="A1953" s="39"/>
      <c r="B1953" s="35" t="s">
        <v>33</v>
      </c>
      <c r="C1953" s="52">
        <f>IF(C1952="","",IF(AND(MONTH(C1952)&gt;=1,MONTH(C1952)&lt;=3),1,IF(AND(MONTH(C1952)&gt;=4,MONTH(C1952)&lt;=6),2,IF(AND(MONTH(C1952)&gt;=7,MONTH(C1952)&lt;=9),3,4))))</f>
        <v>4</v>
      </c>
      <c r="D1953" s="39"/>
      <c r="E1953" s="35" t="s">
        <v>34</v>
      </c>
      <c r="F1953" s="33" t="s">
        <v>35</v>
      </c>
      <c r="G1953" s="50"/>
    </row>
    <row r="1954" spans="1:7" ht="15.75" thickBot="1" x14ac:dyDescent="0.3">
      <c r="A1954" s="39"/>
      <c r="B1954" s="35" t="s">
        <v>36</v>
      </c>
      <c r="C1954" s="51">
        <v>45216</v>
      </c>
      <c r="D1954" s="39"/>
      <c r="E1954" s="35" t="s">
        <v>37</v>
      </c>
      <c r="F1954" s="33" t="s">
        <v>35</v>
      </c>
      <c r="G1954" s="50"/>
    </row>
    <row r="1955" spans="1:7" ht="15.75" thickBot="1" x14ac:dyDescent="0.3">
      <c r="A1955" s="39"/>
      <c r="B1955" s="35" t="s">
        <v>33</v>
      </c>
      <c r="C1955" s="52">
        <f>IF(C1954="","",IF(AND(MONTH(C1954)&gt;=1,MONTH(C1954)&lt;=3),1,IF(AND(MONTH(C1954)&gt;=4,MONTH(C1954)&lt;=6),2,IF(AND(MONTH(C1954)&gt;=7,MONTH(C1954)&lt;=9),3,4))))</f>
        <v>4</v>
      </c>
      <c r="D1955" s="39"/>
      <c r="E1955" s="35" t="s">
        <v>38</v>
      </c>
      <c r="F1955" s="33" t="s">
        <v>35</v>
      </c>
      <c r="G1955" s="50"/>
    </row>
    <row r="1956" spans="1:7" ht="15.75" thickBot="1" x14ac:dyDescent="0.3">
      <c r="A1956" s="50"/>
      <c r="B1956" s="50"/>
      <c r="C1956" s="50"/>
      <c r="D1956" s="50"/>
      <c r="E1956" s="50"/>
      <c r="F1956" s="50"/>
      <c r="G1956" s="50"/>
    </row>
    <row r="1957" spans="1:7" ht="15.75" thickBot="1" x14ac:dyDescent="0.3">
      <c r="A1957" s="41" t="s">
        <v>39</v>
      </c>
      <c r="B1957" s="41" t="s">
        <v>40</v>
      </c>
      <c r="C1957" s="41" t="s">
        <v>41</v>
      </c>
      <c r="D1957" s="41" t="s">
        <v>42</v>
      </c>
      <c r="E1957" s="41" t="s">
        <v>43</v>
      </c>
      <c r="F1957" s="41" t="s">
        <v>44</v>
      </c>
      <c r="G1957" s="50"/>
    </row>
    <row r="1958" spans="1:7" ht="56.25" x14ac:dyDescent="0.25">
      <c r="A1958" s="42">
        <v>42201841</v>
      </c>
      <c r="B1958" s="43" t="str">
        <f ca="1">IFERROR(INDEX(UNSPSCDes,MATCH(INDIRECT(ADDRESS(ROW(),COLUMN()-1,4)),UNSPSCCode,0)),"")</f>
        <v>Papeles de rayos x diagnósticos para uso médico</v>
      </c>
      <c r="C1958" s="42" t="s">
        <v>46</v>
      </c>
      <c r="D1958" s="42">
        <v>1</v>
      </c>
      <c r="E1958" s="45">
        <v>5000</v>
      </c>
      <c r="F1958" s="46">
        <f ca="1">INDIRECT(ADDRESS(ROW(),COLUMN()-2,4))*INDIRECT(ADDRESS(ROW(),COLUMN()-1,4))</f>
        <v>5000</v>
      </c>
      <c r="G1958" s="50"/>
    </row>
    <row r="1959" spans="1:7" x14ac:dyDescent="0.25">
      <c r="A1959" s="50"/>
      <c r="B1959" s="50"/>
      <c r="C1959" s="50"/>
      <c r="D1959" s="50"/>
      <c r="E1959" s="54" t="s">
        <v>49</v>
      </c>
      <c r="F1959" s="49">
        <f ca="1">SUM(Table3137[MONTO TOTAL ESTIMADO])</f>
        <v>5000</v>
      </c>
      <c r="G1959" s="50"/>
    </row>
    <row r="1960" spans="1:7" ht="15.75" thickBot="1" x14ac:dyDescent="0.3">
      <c r="A1960" s="64"/>
      <c r="B1960" s="64"/>
      <c r="C1960" s="64"/>
      <c r="D1960" s="64"/>
      <c r="E1960" s="64"/>
      <c r="F1960" s="64"/>
      <c r="G1960" s="64"/>
    </row>
    <row r="1961" spans="1:7" ht="34.5" thickBot="1" x14ac:dyDescent="0.3">
      <c r="A1961" s="31" t="s">
        <v>18</v>
      </c>
      <c r="B1961" s="31" t="s">
        <v>19</v>
      </c>
      <c r="C1961" s="31" t="s">
        <v>20</v>
      </c>
      <c r="D1961" s="31" t="s">
        <v>21</v>
      </c>
      <c r="E1961" s="31" t="s">
        <v>22</v>
      </c>
      <c r="F1961" s="31" t="s">
        <v>23</v>
      </c>
      <c r="G1961" s="50"/>
    </row>
    <row r="1962" spans="1:7" ht="15.75" thickBot="1" x14ac:dyDescent="0.3">
      <c r="A1962" s="33" t="s">
        <v>121</v>
      </c>
      <c r="B1962" s="33" t="s">
        <v>122</v>
      </c>
      <c r="C1962" s="33" t="s">
        <v>74</v>
      </c>
      <c r="D1962" s="33" t="s">
        <v>52</v>
      </c>
      <c r="E1962" s="33" t="s">
        <v>56</v>
      </c>
      <c r="F1962" s="33"/>
      <c r="G1962" s="50"/>
    </row>
    <row r="1963" spans="1:7" ht="15.75" thickBot="1" x14ac:dyDescent="0.3">
      <c r="A1963" s="34" t="s">
        <v>28</v>
      </c>
      <c r="B1963" s="35" t="s">
        <v>29</v>
      </c>
      <c r="C1963" s="51">
        <v>45209</v>
      </c>
      <c r="D1963" s="34" t="s">
        <v>30</v>
      </c>
      <c r="E1963" s="35" t="s">
        <v>31</v>
      </c>
      <c r="F1963" s="33" t="s">
        <v>32</v>
      </c>
      <c r="G1963" s="50"/>
    </row>
    <row r="1964" spans="1:7" ht="15.75" thickBot="1" x14ac:dyDescent="0.3">
      <c r="A1964" s="39"/>
      <c r="B1964" s="35" t="s">
        <v>33</v>
      </c>
      <c r="C1964" s="52">
        <f>IF(C1963="","",IF(AND(MONTH(C1963)&gt;=1,MONTH(C1963)&lt;=3),1,IF(AND(MONTH(C1963)&gt;=4,MONTH(C1963)&lt;=6),2,IF(AND(MONTH(C1963)&gt;=7,MONTH(C1963)&lt;=9),3,4))))</f>
        <v>4</v>
      </c>
      <c r="D1964" s="39"/>
      <c r="E1964" s="35" t="s">
        <v>34</v>
      </c>
      <c r="F1964" s="33"/>
      <c r="G1964" s="50"/>
    </row>
    <row r="1965" spans="1:7" ht="15.75" thickBot="1" x14ac:dyDescent="0.3">
      <c r="A1965" s="39"/>
      <c r="B1965" s="35" t="s">
        <v>36</v>
      </c>
      <c r="C1965" s="51">
        <v>45218</v>
      </c>
      <c r="D1965" s="39"/>
      <c r="E1965" s="35" t="s">
        <v>37</v>
      </c>
      <c r="F1965" s="33"/>
      <c r="G1965" s="50"/>
    </row>
    <row r="1966" spans="1:7" ht="15.75" thickBot="1" x14ac:dyDescent="0.3">
      <c r="A1966" s="39"/>
      <c r="B1966" s="35" t="s">
        <v>33</v>
      </c>
      <c r="C1966" s="52">
        <f>IF(C1965="","",IF(AND(MONTH(C1965)&gt;=1,MONTH(C1965)&lt;=3),1,IF(AND(MONTH(C1965)&gt;=4,MONTH(C1965)&lt;=6),2,IF(AND(MONTH(C1965)&gt;=7,MONTH(C1965)&lt;=9),3,4))))</f>
        <v>4</v>
      </c>
      <c r="D1966" s="39"/>
      <c r="E1966" s="35" t="s">
        <v>38</v>
      </c>
      <c r="F1966" s="33"/>
      <c r="G1966" s="50"/>
    </row>
    <row r="1967" spans="1:7" ht="15.75" thickBot="1" x14ac:dyDescent="0.3">
      <c r="A1967" s="50"/>
      <c r="B1967" s="50"/>
      <c r="C1967" s="50"/>
      <c r="D1967" s="50"/>
      <c r="E1967" s="50"/>
      <c r="F1967" s="50"/>
      <c r="G1967" s="50"/>
    </row>
    <row r="1968" spans="1:7" ht="15.75" thickBot="1" x14ac:dyDescent="0.3">
      <c r="A1968" s="41" t="s">
        <v>39</v>
      </c>
      <c r="B1968" s="41" t="s">
        <v>40</v>
      </c>
      <c r="C1968" s="41" t="s">
        <v>41</v>
      </c>
      <c r="D1968" s="41" t="s">
        <v>42</v>
      </c>
      <c r="E1968" s="41" t="s">
        <v>43</v>
      </c>
      <c r="F1968" s="41" t="s">
        <v>44</v>
      </c>
      <c r="G1968" s="50"/>
    </row>
    <row r="1969" spans="1:7" ht="45" x14ac:dyDescent="0.25">
      <c r="A1969" s="42">
        <v>86101601</v>
      </c>
      <c r="B1969" s="43" t="str">
        <f ca="1">IFERROR(INDEX(UNSPSCDes,MATCH(INDIRECT(ADDRESS(ROW(),COLUMN()-1,4)),UNSPSCCode,0)),"")</f>
        <v>Servicios de formación profesional en informática</v>
      </c>
      <c r="C1969" s="42" t="s">
        <v>46</v>
      </c>
      <c r="D1969" s="42">
        <v>15</v>
      </c>
      <c r="E1969" s="45">
        <v>8500</v>
      </c>
      <c r="F1969" s="46">
        <f ca="1">INDIRECT(ADDRESS(ROW(),COLUMN()-2,4))*INDIRECT(ADDRESS(ROW(),COLUMN()-1,4))</f>
        <v>127500</v>
      </c>
      <c r="G1969" s="50"/>
    </row>
    <row r="1970" spans="1:7" x14ac:dyDescent="0.25">
      <c r="A1970" s="50"/>
      <c r="B1970" s="50"/>
      <c r="C1970" s="50"/>
      <c r="D1970" s="50"/>
      <c r="E1970" s="54" t="s">
        <v>49</v>
      </c>
      <c r="F1970" s="49">
        <f ca="1">SUM(Table3138[MONTO TOTAL ESTIMADO])</f>
        <v>127500</v>
      </c>
      <c r="G1970" s="50"/>
    </row>
    <row r="1971" spans="1:7" ht="15.75" thickBot="1" x14ac:dyDescent="0.3">
      <c r="A1971" s="64"/>
      <c r="B1971" s="64"/>
      <c r="C1971" s="64"/>
      <c r="D1971" s="64"/>
      <c r="E1971" s="64"/>
      <c r="F1971" s="64"/>
      <c r="G1971" s="64"/>
    </row>
    <row r="1972" spans="1:7" ht="34.5" thickBot="1" x14ac:dyDescent="0.3">
      <c r="A1972" s="31" t="s">
        <v>18</v>
      </c>
      <c r="B1972" s="31" t="s">
        <v>19</v>
      </c>
      <c r="C1972" s="31" t="s">
        <v>20</v>
      </c>
      <c r="D1972" s="31" t="s">
        <v>21</v>
      </c>
      <c r="E1972" s="31" t="s">
        <v>22</v>
      </c>
      <c r="F1972" s="31" t="s">
        <v>23</v>
      </c>
      <c r="G1972" s="50"/>
    </row>
    <row r="1973" spans="1:7" ht="15.75" thickBot="1" x14ac:dyDescent="0.3">
      <c r="A1973" s="33" t="s">
        <v>144</v>
      </c>
      <c r="B1973" s="33" t="s">
        <v>145</v>
      </c>
      <c r="C1973" s="33" t="s">
        <v>134</v>
      </c>
      <c r="D1973" s="33" t="s">
        <v>27</v>
      </c>
      <c r="E1973" s="33" t="s">
        <v>56</v>
      </c>
      <c r="F1973" s="33"/>
      <c r="G1973" s="50"/>
    </row>
    <row r="1974" spans="1:7" ht="15.75" thickBot="1" x14ac:dyDescent="0.3">
      <c r="A1974" s="34" t="s">
        <v>28</v>
      </c>
      <c r="B1974" s="35" t="s">
        <v>29</v>
      </c>
      <c r="C1974" s="51">
        <v>45217</v>
      </c>
      <c r="D1974" s="34" t="s">
        <v>30</v>
      </c>
      <c r="E1974" s="35" t="s">
        <v>31</v>
      </c>
      <c r="F1974" s="33" t="s">
        <v>32</v>
      </c>
      <c r="G1974" s="50"/>
    </row>
    <row r="1975" spans="1:7" ht="15.75" thickBot="1" x14ac:dyDescent="0.3">
      <c r="A1975" s="39"/>
      <c r="B1975" s="35" t="s">
        <v>33</v>
      </c>
      <c r="C1975" s="52">
        <f>IF(C1974="","",IF(AND(MONTH(C1974)&gt;=1,MONTH(C1974)&lt;=3),1,IF(AND(MONTH(C1974)&gt;=4,MONTH(C1974)&lt;=6),2,IF(AND(MONTH(C1974)&gt;=7,MONTH(C1974)&lt;=9),3,4))))</f>
        <v>4</v>
      </c>
      <c r="D1975" s="39"/>
      <c r="E1975" s="35" t="s">
        <v>34</v>
      </c>
      <c r="F1975" s="33" t="s">
        <v>35</v>
      </c>
      <c r="G1975" s="50"/>
    </row>
    <row r="1976" spans="1:7" ht="15.75" thickBot="1" x14ac:dyDescent="0.3">
      <c r="A1976" s="39"/>
      <c r="B1976" s="35" t="s">
        <v>36</v>
      </c>
      <c r="C1976" s="51">
        <v>45226</v>
      </c>
      <c r="D1976" s="39"/>
      <c r="E1976" s="35" t="s">
        <v>37</v>
      </c>
      <c r="F1976" s="33" t="s">
        <v>35</v>
      </c>
      <c r="G1976" s="50"/>
    </row>
    <row r="1977" spans="1:7" ht="15.75" thickBot="1" x14ac:dyDescent="0.3">
      <c r="A1977" s="39"/>
      <c r="B1977" s="35" t="s">
        <v>33</v>
      </c>
      <c r="C1977" s="52">
        <f>IF(C1976="","",IF(AND(MONTH(C1976)&gt;=1,MONTH(C1976)&lt;=3),1,IF(AND(MONTH(C1976)&gt;=4,MONTH(C1976)&lt;=6),2,IF(AND(MONTH(C1976)&gt;=7,MONTH(C1976)&lt;=9),3,4))))</f>
        <v>4</v>
      </c>
      <c r="D1977" s="39"/>
      <c r="E1977" s="35" t="s">
        <v>38</v>
      </c>
      <c r="F1977" s="33" t="s">
        <v>35</v>
      </c>
      <c r="G1977" s="50"/>
    </row>
    <row r="1978" spans="1:7" ht="15.75" thickBot="1" x14ac:dyDescent="0.3">
      <c r="A1978" s="50"/>
      <c r="B1978" s="50"/>
      <c r="C1978" s="50"/>
      <c r="D1978" s="50"/>
      <c r="E1978" s="50"/>
      <c r="F1978" s="50"/>
      <c r="G1978" s="50"/>
    </row>
    <row r="1979" spans="1:7" ht="15.75" thickBot="1" x14ac:dyDescent="0.3">
      <c r="A1979" s="41" t="s">
        <v>39</v>
      </c>
      <c r="B1979" s="41" t="s">
        <v>40</v>
      </c>
      <c r="C1979" s="41" t="s">
        <v>41</v>
      </c>
      <c r="D1979" s="41" t="s">
        <v>42</v>
      </c>
      <c r="E1979" s="41" t="s">
        <v>43</v>
      </c>
      <c r="F1979" s="41" t="s">
        <v>44</v>
      </c>
      <c r="G1979" s="50"/>
    </row>
    <row r="1980" spans="1:7" ht="56.25" x14ac:dyDescent="0.25">
      <c r="A1980" s="42">
        <v>80101504</v>
      </c>
      <c r="B1980" s="43" t="str">
        <f ca="1">IFERROR(INDEX(UNSPSCDes,MATCH(INDIRECT(ADDRESS(ROW(),COLUMN()-1,4)),UNSPSCCode,0)),"")</f>
        <v>Servicios de asesoramiento sobre planificación estratégica</v>
      </c>
      <c r="C1980" s="42" t="s">
        <v>46</v>
      </c>
      <c r="D1980" s="42">
        <v>1</v>
      </c>
      <c r="E1980" s="45">
        <v>1000000</v>
      </c>
      <c r="F1980" s="46">
        <f ca="1">INDIRECT(ADDRESS(ROW(),COLUMN()-2,4))*INDIRECT(ADDRESS(ROW(),COLUMN()-1,4))</f>
        <v>1000000</v>
      </c>
      <c r="G1980" s="50"/>
    </row>
    <row r="1981" spans="1:7" x14ac:dyDescent="0.25">
      <c r="A1981" s="50"/>
      <c r="B1981" s="50"/>
      <c r="C1981" s="50"/>
      <c r="D1981" s="50"/>
      <c r="E1981" s="54" t="s">
        <v>49</v>
      </c>
      <c r="F1981" s="49">
        <f ca="1">SUM(Table3139[MONTO TOTAL ESTIMADO])</f>
        <v>1000000</v>
      </c>
      <c r="G1981" s="50"/>
    </row>
    <row r="1982" spans="1:7" ht="15.75" thickBot="1" x14ac:dyDescent="0.3">
      <c r="A1982" s="64"/>
      <c r="B1982" s="64"/>
      <c r="C1982" s="64"/>
      <c r="D1982" s="64"/>
      <c r="E1982" s="64"/>
      <c r="F1982" s="64"/>
      <c r="G1982" s="64"/>
    </row>
    <row r="1983" spans="1:7" ht="34.5" thickBot="1" x14ac:dyDescent="0.3">
      <c r="A1983" s="31" t="s">
        <v>18</v>
      </c>
      <c r="B1983" s="31" t="s">
        <v>19</v>
      </c>
      <c r="C1983" s="31" t="s">
        <v>20</v>
      </c>
      <c r="D1983" s="31" t="s">
        <v>21</v>
      </c>
      <c r="E1983" s="31" t="s">
        <v>22</v>
      </c>
      <c r="F1983" s="31" t="s">
        <v>23</v>
      </c>
      <c r="G1983" s="50"/>
    </row>
    <row r="1984" spans="1:7" ht="15.75" thickBot="1" x14ac:dyDescent="0.3">
      <c r="A1984" s="33" t="s">
        <v>93</v>
      </c>
      <c r="B1984" s="33" t="s">
        <v>94</v>
      </c>
      <c r="C1984" s="33" t="s">
        <v>26</v>
      </c>
      <c r="D1984" s="33" t="s">
        <v>52</v>
      </c>
      <c r="E1984" s="33" t="s">
        <v>56</v>
      </c>
      <c r="F1984" s="33"/>
      <c r="G1984" s="50"/>
    </row>
    <row r="1985" spans="1:7" ht="15.75" thickBot="1" x14ac:dyDescent="0.3">
      <c r="A1985" s="34" t="s">
        <v>28</v>
      </c>
      <c r="B1985" s="35" t="s">
        <v>29</v>
      </c>
      <c r="C1985" s="51">
        <v>45211</v>
      </c>
      <c r="D1985" s="34" t="s">
        <v>30</v>
      </c>
      <c r="E1985" s="35" t="s">
        <v>31</v>
      </c>
      <c r="F1985" s="33" t="s">
        <v>32</v>
      </c>
      <c r="G1985" s="50"/>
    </row>
    <row r="1986" spans="1:7" ht="15.75" thickBot="1" x14ac:dyDescent="0.3">
      <c r="A1986" s="39"/>
      <c r="B1986" s="35" t="s">
        <v>33</v>
      </c>
      <c r="C1986" s="52">
        <f>IF(C1985="","",IF(AND(MONTH(C1985)&gt;=1,MONTH(C1985)&lt;=3),1,IF(AND(MONTH(C1985)&gt;=4,MONTH(C1985)&lt;=6),2,IF(AND(MONTH(C1985)&gt;=7,MONTH(C1985)&lt;=9),3,4))))</f>
        <v>4</v>
      </c>
      <c r="D1986" s="39"/>
      <c r="E1986" s="35" t="s">
        <v>34</v>
      </c>
      <c r="F1986" s="33" t="s">
        <v>35</v>
      </c>
      <c r="G1986" s="50"/>
    </row>
    <row r="1987" spans="1:7" ht="15.75" thickBot="1" x14ac:dyDescent="0.3">
      <c r="A1987" s="39"/>
      <c r="B1987" s="35" t="s">
        <v>36</v>
      </c>
      <c r="C1987" s="51">
        <v>45220</v>
      </c>
      <c r="D1987" s="39"/>
      <c r="E1987" s="35" t="s">
        <v>37</v>
      </c>
      <c r="F1987" s="33" t="s">
        <v>35</v>
      </c>
      <c r="G1987" s="50"/>
    </row>
    <row r="1988" spans="1:7" ht="15.75" thickBot="1" x14ac:dyDescent="0.3">
      <c r="A1988" s="39"/>
      <c r="B1988" s="35" t="s">
        <v>33</v>
      </c>
      <c r="C1988" s="52">
        <f>IF(C1987="","",IF(AND(MONTH(C1987)&gt;=1,MONTH(C1987)&lt;=3),1,IF(AND(MONTH(C1987)&gt;=4,MONTH(C1987)&lt;=6),2,IF(AND(MONTH(C1987)&gt;=7,MONTH(C1987)&lt;=9),3,4))))</f>
        <v>4</v>
      </c>
      <c r="D1988" s="39"/>
      <c r="E1988" s="35" t="s">
        <v>38</v>
      </c>
      <c r="F1988" s="33" t="s">
        <v>35</v>
      </c>
      <c r="G1988" s="50"/>
    </row>
    <row r="1989" spans="1:7" ht="15.75" thickBot="1" x14ac:dyDescent="0.3">
      <c r="A1989" s="50"/>
      <c r="B1989" s="50"/>
      <c r="C1989" s="50"/>
      <c r="D1989" s="50"/>
      <c r="E1989" s="50"/>
      <c r="F1989" s="50"/>
      <c r="G1989" s="50"/>
    </row>
    <row r="1990" spans="1:7" ht="15.75" thickBot="1" x14ac:dyDescent="0.3">
      <c r="A1990" s="41" t="s">
        <v>39</v>
      </c>
      <c r="B1990" s="41" t="s">
        <v>40</v>
      </c>
      <c r="C1990" s="41" t="s">
        <v>41</v>
      </c>
      <c r="D1990" s="41" t="s">
        <v>42</v>
      </c>
      <c r="E1990" s="41" t="s">
        <v>43</v>
      </c>
      <c r="F1990" s="41" t="s">
        <v>44</v>
      </c>
      <c r="G1990" s="50"/>
    </row>
    <row r="1991" spans="1:7" ht="33.75" x14ac:dyDescent="0.25">
      <c r="A1991" s="42">
        <v>43232101</v>
      </c>
      <c r="B1991" s="43" t="str">
        <f ca="1">IFERROR(INDEX(UNSPSCDes,MATCH(INDIRECT(ADDRESS(ROW(),COLUMN()-1,4)),UNSPSCCode,0)),"")</f>
        <v>Software de diseño de patrones</v>
      </c>
      <c r="C1991" s="42" t="s">
        <v>46</v>
      </c>
      <c r="D1991" s="42">
        <v>1</v>
      </c>
      <c r="E1991" s="45">
        <v>110000</v>
      </c>
      <c r="F1991" s="46">
        <f ca="1">INDIRECT(ADDRESS(ROW(),COLUMN()-2,4))*INDIRECT(ADDRESS(ROW(),COLUMN()-1,4))</f>
        <v>110000</v>
      </c>
      <c r="G1991" s="50"/>
    </row>
    <row r="1992" spans="1:7" x14ac:dyDescent="0.25">
      <c r="A1992" s="50"/>
      <c r="B1992" s="50"/>
      <c r="C1992" s="50"/>
      <c r="D1992" s="50"/>
      <c r="E1992" s="54" t="s">
        <v>49</v>
      </c>
      <c r="F1992" s="49">
        <f ca="1">SUM(Table3140[MONTO TOTAL ESTIMADO])</f>
        <v>110000</v>
      </c>
      <c r="G1992" s="50"/>
    </row>
    <row r="1993" spans="1:7" ht="15.75" thickBot="1" x14ac:dyDescent="0.3">
      <c r="A1993" s="64"/>
      <c r="B1993" s="64"/>
      <c r="C1993" s="64"/>
      <c r="D1993" s="64"/>
      <c r="E1993" s="64"/>
      <c r="F1993" s="64"/>
      <c r="G1993" s="64"/>
    </row>
    <row r="1994" spans="1:7" ht="34.5" thickBot="1" x14ac:dyDescent="0.3">
      <c r="A1994" s="31" t="s">
        <v>18</v>
      </c>
      <c r="B1994" s="31" t="s">
        <v>19</v>
      </c>
      <c r="C1994" s="31" t="s">
        <v>20</v>
      </c>
      <c r="D1994" s="31" t="s">
        <v>21</v>
      </c>
      <c r="E1994" s="31" t="s">
        <v>22</v>
      </c>
      <c r="F1994" s="31" t="s">
        <v>23</v>
      </c>
      <c r="G1994" s="50"/>
    </row>
    <row r="1995" spans="1:7" ht="15.75" thickBot="1" x14ac:dyDescent="0.3">
      <c r="A1995" s="33" t="s">
        <v>81</v>
      </c>
      <c r="B1995" s="33" t="s">
        <v>82</v>
      </c>
      <c r="C1995" s="33" t="s">
        <v>74</v>
      </c>
      <c r="D1995" s="33" t="s">
        <v>52</v>
      </c>
      <c r="E1995" s="33" t="s">
        <v>53</v>
      </c>
      <c r="F1995" s="33"/>
      <c r="G1995" s="50"/>
    </row>
    <row r="1996" spans="1:7" ht="15.75" thickBot="1" x14ac:dyDescent="0.3">
      <c r="A1996" s="34" t="s">
        <v>28</v>
      </c>
      <c r="B1996" s="35" t="s">
        <v>29</v>
      </c>
      <c r="C1996" s="51">
        <v>45231</v>
      </c>
      <c r="D1996" s="34" t="s">
        <v>30</v>
      </c>
      <c r="E1996" s="35" t="s">
        <v>31</v>
      </c>
      <c r="F1996" s="33" t="s">
        <v>32</v>
      </c>
      <c r="G1996" s="50"/>
    </row>
    <row r="1997" spans="1:7" ht="15.75" thickBot="1" x14ac:dyDescent="0.3">
      <c r="A1997" s="39"/>
      <c r="B1997" s="35" t="s">
        <v>33</v>
      </c>
      <c r="C1997" s="52">
        <f>IF(C1996="","",IF(AND(MONTH(C1996)&gt;=1,MONTH(C1996)&lt;=3),1,IF(AND(MONTH(C1996)&gt;=4,MONTH(C1996)&lt;=6),2,IF(AND(MONTH(C1996)&gt;=7,MONTH(C1996)&lt;=9),3,4))))</f>
        <v>4</v>
      </c>
      <c r="D1997" s="39"/>
      <c r="E1997" s="35" t="s">
        <v>34</v>
      </c>
      <c r="F1997" s="33" t="s">
        <v>35</v>
      </c>
      <c r="G1997" s="50"/>
    </row>
    <row r="1998" spans="1:7" ht="15.75" thickBot="1" x14ac:dyDescent="0.3">
      <c r="A1998" s="39"/>
      <c r="B1998" s="35" t="s">
        <v>36</v>
      </c>
      <c r="C1998" s="51">
        <v>45240</v>
      </c>
      <c r="D1998" s="39"/>
      <c r="E1998" s="35" t="s">
        <v>37</v>
      </c>
      <c r="F1998" s="33" t="s">
        <v>35</v>
      </c>
      <c r="G1998" s="50"/>
    </row>
    <row r="1999" spans="1:7" ht="15.75" thickBot="1" x14ac:dyDescent="0.3">
      <c r="A1999" s="39"/>
      <c r="B1999" s="35" t="s">
        <v>33</v>
      </c>
      <c r="C1999" s="52">
        <f>IF(C1998="","",IF(AND(MONTH(C1998)&gt;=1,MONTH(C1998)&lt;=3),1,IF(AND(MONTH(C1998)&gt;=4,MONTH(C1998)&lt;=6),2,IF(AND(MONTH(C1998)&gt;=7,MONTH(C1998)&lt;=9),3,4))))</f>
        <v>4</v>
      </c>
      <c r="D1999" s="39"/>
      <c r="E1999" s="35" t="s">
        <v>38</v>
      </c>
      <c r="F1999" s="33" t="s">
        <v>35</v>
      </c>
      <c r="G1999" s="50"/>
    </row>
    <row r="2000" spans="1:7" ht="15.75" thickBot="1" x14ac:dyDescent="0.3">
      <c r="A2000" s="50"/>
      <c r="B2000" s="50"/>
      <c r="C2000" s="50"/>
      <c r="D2000" s="50"/>
      <c r="E2000" s="50"/>
      <c r="F2000" s="50"/>
      <c r="G2000" s="50"/>
    </row>
    <row r="2001" spans="1:7" ht="15.75" thickBot="1" x14ac:dyDescent="0.3">
      <c r="A2001" s="41" t="s">
        <v>39</v>
      </c>
      <c r="B2001" s="41" t="s">
        <v>40</v>
      </c>
      <c r="C2001" s="41" t="s">
        <v>41</v>
      </c>
      <c r="D2001" s="41" t="s">
        <v>42</v>
      </c>
      <c r="E2001" s="41" t="s">
        <v>43</v>
      </c>
      <c r="F2001" s="41" t="s">
        <v>44</v>
      </c>
      <c r="G2001" s="50"/>
    </row>
    <row r="2002" spans="1:7" ht="33.75" x14ac:dyDescent="0.25">
      <c r="A2002" s="42">
        <v>39121004</v>
      </c>
      <c r="B2002" s="43" t="str">
        <f ca="1">IFERROR(INDEX(UNSPSCDes,MATCH(INDIRECT(ADDRESS(ROW(),COLUMN()-1,4)),UNSPSCCode,0)),"")</f>
        <v>Unidades de suministro de energía</v>
      </c>
      <c r="C2002" s="42" t="s">
        <v>46</v>
      </c>
      <c r="D2002" s="42">
        <v>1</v>
      </c>
      <c r="E2002" s="45">
        <v>60000</v>
      </c>
      <c r="F2002" s="46">
        <f ca="1">INDIRECT(ADDRESS(ROW(),COLUMN()-2,4))*INDIRECT(ADDRESS(ROW(),COLUMN()-1,4))</f>
        <v>60000</v>
      </c>
      <c r="G2002" s="50"/>
    </row>
    <row r="2003" spans="1:7" x14ac:dyDescent="0.25">
      <c r="A2003" s="50"/>
      <c r="B2003" s="50"/>
      <c r="C2003" s="50"/>
      <c r="D2003" s="50"/>
      <c r="E2003" s="54" t="s">
        <v>49</v>
      </c>
      <c r="F2003" s="49">
        <f ca="1">SUM(Table3141[MONTO TOTAL ESTIMADO])</f>
        <v>60000</v>
      </c>
      <c r="G2003" s="50"/>
    </row>
    <row r="2004" spans="1:7" ht="15.75" thickBot="1" x14ac:dyDescent="0.3">
      <c r="A2004" s="64"/>
      <c r="B2004" s="64"/>
      <c r="C2004" s="64"/>
      <c r="D2004" s="64"/>
      <c r="E2004" s="64"/>
      <c r="F2004" s="64"/>
      <c r="G2004" s="64"/>
    </row>
    <row r="2005" spans="1:7" ht="34.5" thickBot="1" x14ac:dyDescent="0.3">
      <c r="A2005" s="31" t="s">
        <v>18</v>
      </c>
      <c r="B2005" s="31" t="s">
        <v>19</v>
      </c>
      <c r="C2005" s="31" t="s">
        <v>20</v>
      </c>
      <c r="D2005" s="31" t="s">
        <v>21</v>
      </c>
      <c r="E2005" s="31" t="s">
        <v>22</v>
      </c>
      <c r="F2005" s="31" t="s">
        <v>23</v>
      </c>
      <c r="G2005" s="50"/>
    </row>
    <row r="2006" spans="1:7" ht="15.75" thickBot="1" x14ac:dyDescent="0.3">
      <c r="A2006" s="33" t="s">
        <v>80</v>
      </c>
      <c r="B2006" s="33" t="s">
        <v>25</v>
      </c>
      <c r="C2006" s="33" t="s">
        <v>26</v>
      </c>
      <c r="D2006" s="33" t="s">
        <v>52</v>
      </c>
      <c r="E2006" s="33" t="s">
        <v>62</v>
      </c>
      <c r="F2006" s="33"/>
      <c r="G2006" s="50"/>
    </row>
    <row r="2007" spans="1:7" ht="15.75" thickBot="1" x14ac:dyDescent="0.3">
      <c r="A2007" s="34" t="s">
        <v>28</v>
      </c>
      <c r="B2007" s="35" t="s">
        <v>29</v>
      </c>
      <c r="C2007" s="51">
        <v>45237</v>
      </c>
      <c r="D2007" s="34" t="s">
        <v>30</v>
      </c>
      <c r="E2007" s="35" t="s">
        <v>31</v>
      </c>
      <c r="F2007" s="33" t="s">
        <v>32</v>
      </c>
      <c r="G2007" s="50"/>
    </row>
    <row r="2008" spans="1:7" ht="15.75" thickBot="1" x14ac:dyDescent="0.3">
      <c r="A2008" s="39"/>
      <c r="B2008" s="35" t="s">
        <v>33</v>
      </c>
      <c r="C2008" s="52">
        <f>IF(C2007="","",IF(AND(MONTH(C2007)&gt;=1,MONTH(C2007)&lt;=3),1,IF(AND(MONTH(C2007)&gt;=4,MONTH(C2007)&lt;=6),2,IF(AND(MONTH(C2007)&gt;=7,MONTH(C2007)&lt;=9),3,4))))</f>
        <v>4</v>
      </c>
      <c r="D2008" s="39"/>
      <c r="E2008" s="35" t="s">
        <v>34</v>
      </c>
      <c r="F2008" s="33" t="s">
        <v>35</v>
      </c>
      <c r="G2008" s="50"/>
    </row>
    <row r="2009" spans="1:7" ht="15.75" thickBot="1" x14ac:dyDescent="0.3">
      <c r="A2009" s="39"/>
      <c r="B2009" s="35" t="s">
        <v>36</v>
      </c>
      <c r="C2009" s="51">
        <v>45245</v>
      </c>
      <c r="D2009" s="39"/>
      <c r="E2009" s="35" t="s">
        <v>37</v>
      </c>
      <c r="F2009" s="33" t="s">
        <v>35</v>
      </c>
      <c r="G2009" s="50"/>
    </row>
    <row r="2010" spans="1:7" ht="15.75" thickBot="1" x14ac:dyDescent="0.3">
      <c r="A2010" s="39"/>
      <c r="B2010" s="35" t="s">
        <v>33</v>
      </c>
      <c r="C2010" s="52">
        <f>IF(C2009="","",IF(AND(MONTH(C2009)&gt;=1,MONTH(C2009)&lt;=3),1,IF(AND(MONTH(C2009)&gt;=4,MONTH(C2009)&lt;=6),2,IF(AND(MONTH(C2009)&gt;=7,MONTH(C2009)&lt;=9),3,4))))</f>
        <v>4</v>
      </c>
      <c r="D2010" s="39"/>
      <c r="E2010" s="35" t="s">
        <v>38</v>
      </c>
      <c r="F2010" s="33" t="s">
        <v>35</v>
      </c>
      <c r="G2010" s="50"/>
    </row>
    <row r="2011" spans="1:7" ht="15.75" thickBot="1" x14ac:dyDescent="0.3">
      <c r="A2011" s="50"/>
      <c r="B2011" s="50"/>
      <c r="C2011" s="50"/>
      <c r="D2011" s="50"/>
      <c r="E2011" s="50"/>
      <c r="F2011" s="50"/>
      <c r="G2011" s="50"/>
    </row>
    <row r="2012" spans="1:7" ht="15.75" thickBot="1" x14ac:dyDescent="0.3">
      <c r="A2012" s="41" t="s">
        <v>39</v>
      </c>
      <c r="B2012" s="41" t="s">
        <v>40</v>
      </c>
      <c r="C2012" s="41" t="s">
        <v>41</v>
      </c>
      <c r="D2012" s="41" t="s">
        <v>42</v>
      </c>
      <c r="E2012" s="41" t="s">
        <v>43</v>
      </c>
      <c r="F2012" s="41" t="s">
        <v>44</v>
      </c>
      <c r="G2012" s="50"/>
    </row>
    <row r="2013" spans="1:7" ht="33.75" x14ac:dyDescent="0.25">
      <c r="A2013" s="42">
        <v>60121104</v>
      </c>
      <c r="B2013" s="43" t="str">
        <f ca="1">IFERROR(INDEX(UNSPSCDes,MATCH(INDIRECT(ADDRESS(ROW(),COLUMN()-1,4)),UNSPSCCode,0)),"")</f>
        <v>Papel bond para para dibujo</v>
      </c>
      <c r="C2013" s="42" t="s">
        <v>45</v>
      </c>
      <c r="D2013" s="42">
        <v>10</v>
      </c>
      <c r="E2013" s="45">
        <v>2237.2800000000002</v>
      </c>
      <c r="F2013" s="46">
        <f ca="1">INDIRECT(ADDRESS(ROW(),COLUMN()-2,4))*INDIRECT(ADDRESS(ROW(),COLUMN()-1,4))</f>
        <v>22372.800000000003</v>
      </c>
      <c r="G2013" s="50"/>
    </row>
    <row r="2014" spans="1:7" x14ac:dyDescent="0.25">
      <c r="A2014" s="50"/>
      <c r="B2014" s="50"/>
      <c r="C2014" s="50"/>
      <c r="D2014" s="50"/>
      <c r="E2014" s="54" t="s">
        <v>49</v>
      </c>
      <c r="F2014" s="49">
        <f ca="1">SUM(Table3142[MONTO TOTAL ESTIMADO])</f>
        <v>22372.800000000003</v>
      </c>
      <c r="G2014" s="50"/>
    </row>
    <row r="2015" spans="1:7" ht="15.75" thickBot="1" x14ac:dyDescent="0.3">
      <c r="A2015" s="64"/>
      <c r="B2015" s="64"/>
      <c r="C2015" s="64"/>
      <c r="D2015" s="64"/>
      <c r="E2015" s="64"/>
      <c r="F2015" s="64"/>
      <c r="G2015" s="64"/>
    </row>
    <row r="2016" spans="1:7" ht="34.5" thickBot="1" x14ac:dyDescent="0.3">
      <c r="A2016" s="31" t="s">
        <v>18</v>
      </c>
      <c r="B2016" s="31" t="s">
        <v>19</v>
      </c>
      <c r="C2016" s="31" t="s">
        <v>20</v>
      </c>
      <c r="D2016" s="31" t="s">
        <v>21</v>
      </c>
      <c r="E2016" s="31" t="s">
        <v>22</v>
      </c>
      <c r="F2016" s="31" t="s">
        <v>23</v>
      </c>
      <c r="G2016" s="50"/>
    </row>
    <row r="2017" spans="1:7" ht="15.75" thickBot="1" x14ac:dyDescent="0.3">
      <c r="A2017" s="33" t="s">
        <v>89</v>
      </c>
      <c r="B2017" s="33" t="s">
        <v>90</v>
      </c>
      <c r="C2017" s="33" t="s">
        <v>74</v>
      </c>
      <c r="D2017" s="33" t="s">
        <v>52</v>
      </c>
      <c r="E2017" s="33" t="s">
        <v>53</v>
      </c>
      <c r="F2017" s="33"/>
      <c r="G2017" s="50"/>
    </row>
    <row r="2018" spans="1:7" ht="15.75" thickBot="1" x14ac:dyDescent="0.3">
      <c r="A2018" s="34" t="s">
        <v>28</v>
      </c>
      <c r="B2018" s="35" t="s">
        <v>29</v>
      </c>
      <c r="C2018" s="51">
        <v>45233</v>
      </c>
      <c r="D2018" s="34" t="s">
        <v>30</v>
      </c>
      <c r="E2018" s="35" t="s">
        <v>31</v>
      </c>
      <c r="F2018" s="33" t="s">
        <v>32</v>
      </c>
      <c r="G2018" s="50"/>
    </row>
    <row r="2019" spans="1:7" ht="15.75" thickBot="1" x14ac:dyDescent="0.3">
      <c r="A2019" s="39"/>
      <c r="B2019" s="35" t="s">
        <v>33</v>
      </c>
      <c r="C2019" s="52">
        <f>IF(C2018="","",IF(AND(MONTH(C2018)&gt;=1,MONTH(C2018)&lt;=3),1,IF(AND(MONTH(C2018)&gt;=4,MONTH(C2018)&lt;=6),2,IF(AND(MONTH(C2018)&gt;=7,MONTH(C2018)&lt;=9),3,4))))</f>
        <v>4</v>
      </c>
      <c r="D2019" s="39"/>
      <c r="E2019" s="35" t="s">
        <v>34</v>
      </c>
      <c r="F2019" s="33" t="s">
        <v>35</v>
      </c>
      <c r="G2019" s="50"/>
    </row>
    <row r="2020" spans="1:7" ht="15.75" thickBot="1" x14ac:dyDescent="0.3">
      <c r="A2020" s="39"/>
      <c r="B2020" s="35" t="s">
        <v>36</v>
      </c>
      <c r="C2020" s="51">
        <v>45241</v>
      </c>
      <c r="D2020" s="39"/>
      <c r="E2020" s="35" t="s">
        <v>37</v>
      </c>
      <c r="F2020" s="33" t="s">
        <v>35</v>
      </c>
      <c r="G2020" s="50"/>
    </row>
    <row r="2021" spans="1:7" ht="15.75" thickBot="1" x14ac:dyDescent="0.3">
      <c r="A2021" s="39"/>
      <c r="B2021" s="35" t="s">
        <v>33</v>
      </c>
      <c r="C2021" s="52">
        <f>IF(C2020="","",IF(AND(MONTH(C2020)&gt;=1,MONTH(C2020)&lt;=3),1,IF(AND(MONTH(C2020)&gt;=4,MONTH(C2020)&lt;=6),2,IF(AND(MONTH(C2020)&gt;=7,MONTH(C2020)&lt;=9),3,4))))</f>
        <v>4</v>
      </c>
      <c r="D2021" s="39"/>
      <c r="E2021" s="35" t="s">
        <v>38</v>
      </c>
      <c r="F2021" s="33" t="s">
        <v>35</v>
      </c>
      <c r="G2021" s="50"/>
    </row>
    <row r="2022" spans="1:7" ht="15.75" thickBot="1" x14ac:dyDescent="0.3">
      <c r="A2022" s="50"/>
      <c r="B2022" s="50"/>
      <c r="C2022" s="50"/>
      <c r="D2022" s="50"/>
      <c r="E2022" s="50"/>
      <c r="F2022" s="50"/>
      <c r="G2022" s="50"/>
    </row>
    <row r="2023" spans="1:7" ht="15.75" thickBot="1" x14ac:dyDescent="0.3">
      <c r="A2023" s="41" t="s">
        <v>39</v>
      </c>
      <c r="B2023" s="41" t="s">
        <v>40</v>
      </c>
      <c r="C2023" s="41" t="s">
        <v>41</v>
      </c>
      <c r="D2023" s="41" t="s">
        <v>42</v>
      </c>
      <c r="E2023" s="41" t="s">
        <v>43</v>
      </c>
      <c r="F2023" s="41" t="s">
        <v>44</v>
      </c>
      <c r="G2023" s="50"/>
    </row>
    <row r="2024" spans="1:7" ht="33.75" x14ac:dyDescent="0.25">
      <c r="A2024" s="42">
        <v>50192701</v>
      </c>
      <c r="B2024" s="43" t="str">
        <f ca="1">IFERROR(INDEX(UNSPSCDes,MATCH(INDIRECT(ADDRESS(ROW(),COLUMN()-1,4)),UNSPSCCode,0)),"")</f>
        <v>Comidas combinadas frescas</v>
      </c>
      <c r="C2024" s="42" t="s">
        <v>46</v>
      </c>
      <c r="D2024" s="42">
        <v>50</v>
      </c>
      <c r="E2024" s="45">
        <v>275</v>
      </c>
      <c r="F2024" s="46">
        <f ca="1">INDIRECT(ADDRESS(ROW(),COLUMN()-2,4))*INDIRECT(ADDRESS(ROW(),COLUMN()-1,4))</f>
        <v>13750</v>
      </c>
      <c r="G2024" s="50"/>
    </row>
    <row r="2025" spans="1:7" x14ac:dyDescent="0.25">
      <c r="A2025" s="50"/>
      <c r="B2025" s="50"/>
      <c r="C2025" s="50"/>
      <c r="D2025" s="50"/>
      <c r="E2025" s="54" t="s">
        <v>49</v>
      </c>
      <c r="F2025" s="49">
        <f ca="1">SUM(Table3143[MONTO TOTAL ESTIMADO])</f>
        <v>13750</v>
      </c>
      <c r="G2025" s="50"/>
    </row>
    <row r="2026" spans="1:7" ht="15.75" thickBot="1" x14ac:dyDescent="0.3">
      <c r="A2026" s="64"/>
      <c r="B2026" s="64"/>
      <c r="C2026" s="64"/>
      <c r="D2026" s="64"/>
      <c r="E2026" s="64"/>
      <c r="F2026" s="64"/>
      <c r="G2026" s="64"/>
    </row>
    <row r="2027" spans="1:7" ht="34.5" thickBot="1" x14ac:dyDescent="0.3">
      <c r="A2027" s="31" t="s">
        <v>18</v>
      </c>
      <c r="B2027" s="31" t="s">
        <v>19</v>
      </c>
      <c r="C2027" s="31" t="s">
        <v>20</v>
      </c>
      <c r="D2027" s="31" t="s">
        <v>21</v>
      </c>
      <c r="E2027" s="31" t="s">
        <v>22</v>
      </c>
      <c r="F2027" s="31" t="s">
        <v>23</v>
      </c>
      <c r="G2027" s="50"/>
    </row>
    <row r="2028" spans="1:7" ht="15.75" thickBot="1" x14ac:dyDescent="0.3">
      <c r="A2028" s="33" t="s">
        <v>50</v>
      </c>
      <c r="B2028" s="33" t="s">
        <v>95</v>
      </c>
      <c r="C2028" s="33" t="s">
        <v>26</v>
      </c>
      <c r="D2028" s="33" t="s">
        <v>52</v>
      </c>
      <c r="E2028" s="33" t="s">
        <v>53</v>
      </c>
      <c r="F2028" s="33"/>
      <c r="G2028" s="50"/>
    </row>
    <row r="2029" spans="1:7" ht="15.75" thickBot="1" x14ac:dyDescent="0.3">
      <c r="A2029" s="34" t="s">
        <v>28</v>
      </c>
      <c r="B2029" s="35" t="s">
        <v>29</v>
      </c>
      <c r="C2029" s="51">
        <v>45232</v>
      </c>
      <c r="D2029" s="34" t="s">
        <v>30</v>
      </c>
      <c r="E2029" s="35" t="s">
        <v>31</v>
      </c>
      <c r="F2029" s="33" t="s">
        <v>32</v>
      </c>
      <c r="G2029" s="50"/>
    </row>
    <row r="2030" spans="1:7" ht="15.75" thickBot="1" x14ac:dyDescent="0.3">
      <c r="A2030" s="39"/>
      <c r="B2030" s="35" t="s">
        <v>33</v>
      </c>
      <c r="C2030" s="52">
        <f>IF(C2029="","",IF(AND(MONTH(C2029)&gt;=1,MONTH(C2029)&lt;=3),1,IF(AND(MONTH(C2029)&gt;=4,MONTH(C2029)&lt;=6),2,IF(AND(MONTH(C2029)&gt;=7,MONTH(C2029)&lt;=9),3,4))))</f>
        <v>4</v>
      </c>
      <c r="D2030" s="39"/>
      <c r="E2030" s="35" t="s">
        <v>34</v>
      </c>
      <c r="F2030" s="33" t="s">
        <v>35</v>
      </c>
      <c r="G2030" s="50"/>
    </row>
    <row r="2031" spans="1:7" ht="15.75" thickBot="1" x14ac:dyDescent="0.3">
      <c r="A2031" s="39"/>
      <c r="B2031" s="35" t="s">
        <v>36</v>
      </c>
      <c r="C2031" s="51">
        <v>45241</v>
      </c>
      <c r="D2031" s="39"/>
      <c r="E2031" s="35" t="s">
        <v>37</v>
      </c>
      <c r="F2031" s="33" t="s">
        <v>35</v>
      </c>
      <c r="G2031" s="50"/>
    </row>
    <row r="2032" spans="1:7" ht="15.75" thickBot="1" x14ac:dyDescent="0.3">
      <c r="A2032" s="39"/>
      <c r="B2032" s="35" t="s">
        <v>33</v>
      </c>
      <c r="C2032" s="52">
        <f>IF(C2031="","",IF(AND(MONTH(C2031)&gt;=1,MONTH(C2031)&lt;=3),1,IF(AND(MONTH(C2031)&gt;=4,MONTH(C2031)&lt;=6),2,IF(AND(MONTH(C2031)&gt;=7,MONTH(C2031)&lt;=9),3,4))))</f>
        <v>4</v>
      </c>
      <c r="D2032" s="39"/>
      <c r="E2032" s="35" t="s">
        <v>38</v>
      </c>
      <c r="F2032" s="33" t="s">
        <v>35</v>
      </c>
      <c r="G2032" s="50"/>
    </row>
    <row r="2033" spans="1:7" ht="15.75" thickBot="1" x14ac:dyDescent="0.3">
      <c r="A2033" s="50"/>
      <c r="B2033" s="50"/>
      <c r="C2033" s="50"/>
      <c r="D2033" s="50"/>
      <c r="E2033" s="50"/>
      <c r="F2033" s="50"/>
      <c r="G2033" s="50"/>
    </row>
    <row r="2034" spans="1:7" ht="15.75" thickBot="1" x14ac:dyDescent="0.3">
      <c r="A2034" s="41" t="s">
        <v>39</v>
      </c>
      <c r="B2034" s="41" t="s">
        <v>40</v>
      </c>
      <c r="C2034" s="41" t="s">
        <v>41</v>
      </c>
      <c r="D2034" s="41" t="s">
        <v>42</v>
      </c>
      <c r="E2034" s="41" t="s">
        <v>43</v>
      </c>
      <c r="F2034" s="41" t="s">
        <v>44</v>
      </c>
      <c r="G2034" s="50"/>
    </row>
    <row r="2035" spans="1:7" x14ac:dyDescent="0.25">
      <c r="A2035" s="42">
        <v>50201711</v>
      </c>
      <c r="B2035" s="43" t="str">
        <f ca="1">IFERROR(INDEX(UNSPSCDes,MATCH(INDIRECT(ADDRESS(ROW(),COLUMN()-1,4)),UNSPSCCode,0)),"")</f>
        <v>Té instantáneo</v>
      </c>
      <c r="C2035" s="42" t="s">
        <v>46</v>
      </c>
      <c r="D2035" s="42">
        <v>2</v>
      </c>
      <c r="E2035" s="45">
        <v>300</v>
      </c>
      <c r="F2035" s="46">
        <f ca="1">INDIRECT(ADDRESS(ROW(),COLUMN()-2,4))*INDIRECT(ADDRESS(ROW(),COLUMN()-1,4))</f>
        <v>600</v>
      </c>
      <c r="G2035" s="50"/>
    </row>
    <row r="2036" spans="1:7" x14ac:dyDescent="0.25">
      <c r="A2036" s="50"/>
      <c r="B2036" s="50"/>
      <c r="C2036" s="50"/>
      <c r="D2036" s="50"/>
      <c r="E2036" s="54" t="s">
        <v>49</v>
      </c>
      <c r="F2036" s="49">
        <f ca="1">SUM(Table3144[MONTO TOTAL ESTIMADO])</f>
        <v>600</v>
      </c>
      <c r="G2036" s="50"/>
    </row>
    <row r="2037" spans="1:7" ht="15.75" thickBot="1" x14ac:dyDescent="0.3">
      <c r="A2037" s="64"/>
      <c r="B2037" s="64"/>
      <c r="C2037" s="64"/>
      <c r="D2037" s="64"/>
      <c r="E2037" s="64"/>
      <c r="F2037" s="64"/>
      <c r="G2037" s="64"/>
    </row>
    <row r="2038" spans="1:7" ht="34.5" thickBot="1" x14ac:dyDescent="0.3">
      <c r="A2038" s="31" t="s">
        <v>18</v>
      </c>
      <c r="B2038" s="31" t="s">
        <v>19</v>
      </c>
      <c r="C2038" s="31" t="s">
        <v>20</v>
      </c>
      <c r="D2038" s="31" t="s">
        <v>21</v>
      </c>
      <c r="E2038" s="31" t="s">
        <v>22</v>
      </c>
      <c r="F2038" s="31" t="s">
        <v>23</v>
      </c>
      <c r="G2038" s="50"/>
    </row>
    <row r="2039" spans="1:7" ht="15.75" thickBot="1" x14ac:dyDescent="0.3">
      <c r="A2039" s="33" t="s">
        <v>83</v>
      </c>
      <c r="B2039" s="33" t="s">
        <v>84</v>
      </c>
      <c r="C2039" s="33" t="s">
        <v>74</v>
      </c>
      <c r="D2039" s="33" t="s">
        <v>52</v>
      </c>
      <c r="E2039" s="33" t="s">
        <v>53</v>
      </c>
      <c r="F2039" s="33"/>
      <c r="G2039" s="50"/>
    </row>
    <row r="2040" spans="1:7" ht="15.75" thickBot="1" x14ac:dyDescent="0.3">
      <c r="A2040" s="34" t="s">
        <v>28</v>
      </c>
      <c r="B2040" s="35" t="s">
        <v>29</v>
      </c>
      <c r="C2040" s="51">
        <v>45248</v>
      </c>
      <c r="D2040" s="34" t="s">
        <v>30</v>
      </c>
      <c r="E2040" s="35" t="s">
        <v>31</v>
      </c>
      <c r="F2040" s="33" t="s">
        <v>32</v>
      </c>
      <c r="G2040" s="50"/>
    </row>
    <row r="2041" spans="1:7" ht="15.75" thickBot="1" x14ac:dyDescent="0.3">
      <c r="A2041" s="39"/>
      <c r="B2041" s="35" t="s">
        <v>33</v>
      </c>
      <c r="C2041" s="52">
        <f>IF(C2040="","",IF(AND(MONTH(C2040)&gt;=1,MONTH(C2040)&lt;=3),1,IF(AND(MONTH(C2040)&gt;=4,MONTH(C2040)&lt;=6),2,IF(AND(MONTH(C2040)&gt;=7,MONTH(C2040)&lt;=9),3,4))))</f>
        <v>4</v>
      </c>
      <c r="D2041" s="39"/>
      <c r="E2041" s="35" t="s">
        <v>34</v>
      </c>
      <c r="F2041" s="33" t="s">
        <v>35</v>
      </c>
      <c r="G2041" s="50"/>
    </row>
    <row r="2042" spans="1:7" ht="15.75" thickBot="1" x14ac:dyDescent="0.3">
      <c r="A2042" s="39"/>
      <c r="B2042" s="35" t="s">
        <v>36</v>
      </c>
      <c r="C2042" s="51">
        <v>45257</v>
      </c>
      <c r="D2042" s="39"/>
      <c r="E2042" s="35" t="s">
        <v>37</v>
      </c>
      <c r="F2042" s="33" t="s">
        <v>35</v>
      </c>
      <c r="G2042" s="50"/>
    </row>
    <row r="2043" spans="1:7" ht="15.75" thickBot="1" x14ac:dyDescent="0.3">
      <c r="A2043" s="39"/>
      <c r="B2043" s="35" t="s">
        <v>33</v>
      </c>
      <c r="C2043" s="52">
        <f>IF(C2042="","",IF(AND(MONTH(C2042)&gt;=1,MONTH(C2042)&lt;=3),1,IF(AND(MONTH(C2042)&gt;=4,MONTH(C2042)&lt;=6),2,IF(AND(MONTH(C2042)&gt;=7,MONTH(C2042)&lt;=9),3,4))))</f>
        <v>4</v>
      </c>
      <c r="D2043" s="39"/>
      <c r="E2043" s="35" t="s">
        <v>38</v>
      </c>
      <c r="F2043" s="33" t="s">
        <v>35</v>
      </c>
      <c r="G2043" s="50"/>
    </row>
    <row r="2044" spans="1:7" ht="15.75" thickBot="1" x14ac:dyDescent="0.3">
      <c r="A2044" s="50"/>
      <c r="B2044" s="50"/>
      <c r="C2044" s="50"/>
      <c r="D2044" s="50"/>
      <c r="E2044" s="50"/>
      <c r="F2044" s="50"/>
      <c r="G2044" s="50"/>
    </row>
    <row r="2045" spans="1:7" ht="15.75" thickBot="1" x14ac:dyDescent="0.3">
      <c r="A2045" s="41" t="s">
        <v>39</v>
      </c>
      <c r="B2045" s="41" t="s">
        <v>40</v>
      </c>
      <c r="C2045" s="41" t="s">
        <v>41</v>
      </c>
      <c r="D2045" s="41" t="s">
        <v>42</v>
      </c>
      <c r="E2045" s="41" t="s">
        <v>43</v>
      </c>
      <c r="F2045" s="41" t="s">
        <v>44</v>
      </c>
      <c r="G2045" s="50"/>
    </row>
    <row r="2046" spans="1:7" ht="22.5" x14ac:dyDescent="0.25">
      <c r="A2046" s="42">
        <v>82121503</v>
      </c>
      <c r="B2046" s="43" t="str">
        <f ca="1">IFERROR(INDEX(UNSPSCDes,MATCH(INDIRECT(ADDRESS(ROW(),COLUMN()-1,4)),UNSPSCCode,0)),"")</f>
        <v>Impresión digital</v>
      </c>
      <c r="C2046" s="42" t="s">
        <v>46</v>
      </c>
      <c r="D2046" s="42">
        <v>4</v>
      </c>
      <c r="E2046" s="45">
        <v>1200</v>
      </c>
      <c r="F2046" s="46">
        <f ca="1">INDIRECT(ADDRESS(ROW(),COLUMN()-2,4))*INDIRECT(ADDRESS(ROW(),COLUMN()-1,4))</f>
        <v>4800</v>
      </c>
      <c r="G2046" s="50"/>
    </row>
    <row r="2047" spans="1:7" ht="33.75" x14ac:dyDescent="0.25">
      <c r="A2047" s="42">
        <v>80121704</v>
      </c>
      <c r="B2047" s="43" t="str">
        <f ca="1">IFERROR(INDEX(UNSPSCDes,MATCH(INDIRECT(ADDRESS(ROW(),COLUMN()-1,4)),UNSPSCCode,0)),"")</f>
        <v>Servicios legales sobre contratos</v>
      </c>
      <c r="C2047" s="42" t="s">
        <v>46</v>
      </c>
      <c r="D2047" s="42">
        <v>15</v>
      </c>
      <c r="E2047" s="45">
        <v>5000</v>
      </c>
      <c r="F2047" s="46">
        <f ca="1">INDIRECT(ADDRESS(ROW(),COLUMN()-2,4))*INDIRECT(ADDRESS(ROW(),COLUMN()-1,4))</f>
        <v>75000</v>
      </c>
      <c r="G2047" s="50"/>
    </row>
    <row r="2048" spans="1:7" x14ac:dyDescent="0.25">
      <c r="A2048" s="50"/>
      <c r="B2048" s="50"/>
      <c r="C2048" s="50"/>
      <c r="D2048" s="50"/>
      <c r="E2048" s="54" t="s">
        <v>49</v>
      </c>
      <c r="F2048" s="49">
        <f ca="1">SUM(Table3145[MONTO TOTAL ESTIMADO])</f>
        <v>79800</v>
      </c>
      <c r="G2048" s="50"/>
    </row>
    <row r="2049" spans="1:7" ht="15.75" thickBot="1" x14ac:dyDescent="0.3">
      <c r="A2049" s="64"/>
      <c r="B2049" s="64"/>
      <c r="C2049" s="64"/>
      <c r="D2049" s="64"/>
      <c r="E2049" s="64"/>
      <c r="F2049" s="64"/>
      <c r="G2049" s="64"/>
    </row>
    <row r="2050" spans="1:7" ht="34.5" thickBot="1" x14ac:dyDescent="0.3">
      <c r="A2050" s="31" t="s">
        <v>18</v>
      </c>
      <c r="B2050" s="31" t="s">
        <v>19</v>
      </c>
      <c r="C2050" s="31" t="s">
        <v>20</v>
      </c>
      <c r="D2050" s="31" t="s">
        <v>21</v>
      </c>
      <c r="E2050" s="31" t="s">
        <v>22</v>
      </c>
      <c r="F2050" s="31" t="s">
        <v>23</v>
      </c>
      <c r="G2050" s="50"/>
    </row>
    <row r="2051" spans="1:7" ht="15.75" thickBot="1" x14ac:dyDescent="0.3">
      <c r="A2051" s="33" t="s">
        <v>93</v>
      </c>
      <c r="B2051" s="33" t="s">
        <v>94</v>
      </c>
      <c r="C2051" s="33" t="s">
        <v>26</v>
      </c>
      <c r="D2051" s="33" t="s">
        <v>27</v>
      </c>
      <c r="E2051" s="33" t="s">
        <v>56</v>
      </c>
      <c r="F2051" s="33"/>
      <c r="G2051" s="50"/>
    </row>
    <row r="2052" spans="1:7" ht="15.75" thickBot="1" x14ac:dyDescent="0.3">
      <c r="A2052" s="34" t="s">
        <v>28</v>
      </c>
      <c r="B2052" s="35" t="s">
        <v>29</v>
      </c>
      <c r="C2052" s="51">
        <v>45244</v>
      </c>
      <c r="D2052" s="34" t="s">
        <v>30</v>
      </c>
      <c r="E2052" s="35" t="s">
        <v>31</v>
      </c>
      <c r="F2052" s="33" t="s">
        <v>32</v>
      </c>
      <c r="G2052" s="50"/>
    </row>
    <row r="2053" spans="1:7" ht="15.75" thickBot="1" x14ac:dyDescent="0.3">
      <c r="A2053" s="39"/>
      <c r="B2053" s="35" t="s">
        <v>33</v>
      </c>
      <c r="C2053" s="52">
        <f>IF(C2052="","",IF(AND(MONTH(C2052)&gt;=1,MONTH(C2052)&lt;=3),1,IF(AND(MONTH(C2052)&gt;=4,MONTH(C2052)&lt;=6),2,IF(AND(MONTH(C2052)&gt;=7,MONTH(C2052)&lt;=9),3,4))))</f>
        <v>4</v>
      </c>
      <c r="D2053" s="39"/>
      <c r="E2053" s="35" t="s">
        <v>34</v>
      </c>
      <c r="F2053" s="33" t="s">
        <v>35</v>
      </c>
      <c r="G2053" s="50"/>
    </row>
    <row r="2054" spans="1:7" ht="15.75" thickBot="1" x14ac:dyDescent="0.3">
      <c r="A2054" s="39"/>
      <c r="B2054" s="35" t="s">
        <v>36</v>
      </c>
      <c r="C2054" s="51">
        <v>45255</v>
      </c>
      <c r="D2054" s="39"/>
      <c r="E2054" s="35" t="s">
        <v>37</v>
      </c>
      <c r="F2054" s="33" t="s">
        <v>35</v>
      </c>
      <c r="G2054" s="50"/>
    </row>
    <row r="2055" spans="1:7" ht="15.75" thickBot="1" x14ac:dyDescent="0.3">
      <c r="A2055" s="39"/>
      <c r="B2055" s="35" t="s">
        <v>33</v>
      </c>
      <c r="C2055" s="52">
        <f>IF(C2054="","",IF(AND(MONTH(C2054)&gt;=1,MONTH(C2054)&lt;=3),1,IF(AND(MONTH(C2054)&gt;=4,MONTH(C2054)&lt;=6),2,IF(AND(MONTH(C2054)&gt;=7,MONTH(C2054)&lt;=9),3,4))))</f>
        <v>4</v>
      </c>
      <c r="D2055" s="39"/>
      <c r="E2055" s="35" t="s">
        <v>38</v>
      </c>
      <c r="F2055" s="33" t="s">
        <v>35</v>
      </c>
      <c r="G2055" s="50"/>
    </row>
    <row r="2056" spans="1:7" ht="15.75" thickBot="1" x14ac:dyDescent="0.3">
      <c r="A2056" s="50"/>
      <c r="B2056" s="50"/>
      <c r="C2056" s="50"/>
      <c r="D2056" s="50"/>
      <c r="E2056" s="50"/>
      <c r="F2056" s="50"/>
      <c r="G2056" s="50"/>
    </row>
    <row r="2057" spans="1:7" ht="15.75" thickBot="1" x14ac:dyDescent="0.3">
      <c r="A2057" s="41" t="s">
        <v>39</v>
      </c>
      <c r="B2057" s="41" t="s">
        <v>40</v>
      </c>
      <c r="C2057" s="41" t="s">
        <v>41</v>
      </c>
      <c r="D2057" s="41" t="s">
        <v>42</v>
      </c>
      <c r="E2057" s="41" t="s">
        <v>43</v>
      </c>
      <c r="F2057" s="41" t="s">
        <v>44</v>
      </c>
      <c r="G2057" s="50"/>
    </row>
    <row r="2058" spans="1:7" ht="33.75" x14ac:dyDescent="0.25">
      <c r="A2058" s="42">
        <v>43232101</v>
      </c>
      <c r="B2058" s="43" t="str">
        <f ca="1">IFERROR(INDEX(UNSPSCDes,MATCH(INDIRECT(ADDRESS(ROW(),COLUMN()-1,4)),UNSPSCCode,0)),"")</f>
        <v>Software de diseño de patrones</v>
      </c>
      <c r="C2058" s="42" t="s">
        <v>46</v>
      </c>
      <c r="D2058" s="42">
        <v>9</v>
      </c>
      <c r="E2058" s="45">
        <v>1300</v>
      </c>
      <c r="F2058" s="46">
        <f ca="1">INDIRECT(ADDRESS(ROW(),COLUMN()-2,4))*INDIRECT(ADDRESS(ROW(),COLUMN()-1,4))</f>
        <v>11700</v>
      </c>
      <c r="G2058" s="50"/>
    </row>
    <row r="2059" spans="1:7" ht="33.75" x14ac:dyDescent="0.25">
      <c r="A2059" s="42">
        <v>43232101</v>
      </c>
      <c r="B2059" s="43" t="str">
        <f ca="1">IFERROR(INDEX(UNSPSCDes,MATCH(INDIRECT(ADDRESS(ROW(),COLUMN()-1,4)),UNSPSCCode,0)),"")</f>
        <v>Software de diseño de patrones</v>
      </c>
      <c r="C2059" s="42" t="s">
        <v>46</v>
      </c>
      <c r="D2059" s="42">
        <v>41</v>
      </c>
      <c r="E2059" s="45">
        <v>1500</v>
      </c>
      <c r="F2059" s="46">
        <f ca="1">INDIRECT(ADDRESS(ROW(),COLUMN()-2,4))*INDIRECT(ADDRESS(ROW(),COLUMN()-1,4))</f>
        <v>61500</v>
      </c>
      <c r="G2059" s="50"/>
    </row>
    <row r="2060" spans="1:7" ht="33.75" x14ac:dyDescent="0.25">
      <c r="A2060" s="42">
        <v>43232101</v>
      </c>
      <c r="B2060" s="43" t="str">
        <f ca="1">IFERROR(INDEX(UNSPSCDes,MATCH(INDIRECT(ADDRESS(ROW(),COLUMN()-1,4)),UNSPSCCode,0)),"")</f>
        <v>Software de diseño de patrones</v>
      </c>
      <c r="C2060" s="42" t="s">
        <v>46</v>
      </c>
      <c r="D2060" s="42">
        <v>241</v>
      </c>
      <c r="E2060" s="45">
        <v>1300</v>
      </c>
      <c r="F2060" s="46">
        <f ca="1">INDIRECT(ADDRESS(ROW(),COLUMN()-2,4))*INDIRECT(ADDRESS(ROW(),COLUMN()-1,4))</f>
        <v>313300</v>
      </c>
      <c r="G2060" s="50"/>
    </row>
    <row r="2061" spans="1:7" ht="33.75" x14ac:dyDescent="0.25">
      <c r="A2061" s="42">
        <v>43232101</v>
      </c>
      <c r="B2061" s="43" t="str">
        <f ca="1">IFERROR(INDEX(UNSPSCDes,MATCH(INDIRECT(ADDRESS(ROW(),COLUMN()-1,4)),UNSPSCCode,0)),"")</f>
        <v>Software de diseño de patrones</v>
      </c>
      <c r="C2061" s="42" t="s">
        <v>46</v>
      </c>
      <c r="D2061" s="42">
        <v>259</v>
      </c>
      <c r="E2061" s="45">
        <v>800</v>
      </c>
      <c r="F2061" s="46">
        <f ca="1">INDIRECT(ADDRESS(ROW(),COLUMN()-2,4))*INDIRECT(ADDRESS(ROW(),COLUMN()-1,4))</f>
        <v>207200</v>
      </c>
      <c r="G2061" s="50"/>
    </row>
    <row r="2062" spans="1:7" x14ac:dyDescent="0.25">
      <c r="A2062" s="50"/>
      <c r="B2062" s="50"/>
      <c r="C2062" s="50"/>
      <c r="D2062" s="50"/>
      <c r="E2062" s="54" t="s">
        <v>49</v>
      </c>
      <c r="F2062" s="49">
        <f ca="1">SUM(Table3146[MONTO TOTAL ESTIMADO])</f>
        <v>593700</v>
      </c>
      <c r="G2062" s="50"/>
    </row>
    <row r="2063" spans="1:7" ht="15.75" thickBot="1" x14ac:dyDescent="0.3">
      <c r="A2063" s="64"/>
      <c r="B2063" s="64"/>
      <c r="C2063" s="64"/>
      <c r="D2063" s="64"/>
      <c r="E2063" s="64"/>
      <c r="F2063" s="64"/>
      <c r="G2063" s="64"/>
    </row>
    <row r="2064" spans="1:7" ht="34.5" thickBot="1" x14ac:dyDescent="0.3">
      <c r="A2064" s="31" t="s">
        <v>18</v>
      </c>
      <c r="B2064" s="31" t="s">
        <v>19</v>
      </c>
      <c r="C2064" s="31" t="s">
        <v>20</v>
      </c>
      <c r="D2064" s="31" t="s">
        <v>21</v>
      </c>
      <c r="E2064" s="31" t="s">
        <v>22</v>
      </c>
      <c r="F2064" s="31" t="s">
        <v>23</v>
      </c>
      <c r="G2064" s="50"/>
    </row>
    <row r="2065" spans="1:7" ht="15.75" thickBot="1" x14ac:dyDescent="0.3">
      <c r="A2065" s="33" t="s">
        <v>111</v>
      </c>
      <c r="B2065" s="33" t="s">
        <v>112</v>
      </c>
      <c r="C2065" s="33" t="s">
        <v>74</v>
      </c>
      <c r="D2065" s="33" t="s">
        <v>52</v>
      </c>
      <c r="E2065" s="33" t="s">
        <v>53</v>
      </c>
      <c r="F2065" s="33"/>
      <c r="G2065" s="50"/>
    </row>
    <row r="2066" spans="1:7" ht="15.75" thickBot="1" x14ac:dyDescent="0.3">
      <c r="A2066" s="34" t="s">
        <v>28</v>
      </c>
      <c r="B2066" s="35" t="s">
        <v>29</v>
      </c>
      <c r="C2066" s="51">
        <v>45238</v>
      </c>
      <c r="D2066" s="34" t="s">
        <v>30</v>
      </c>
      <c r="E2066" s="35" t="s">
        <v>31</v>
      </c>
      <c r="F2066" s="33" t="s">
        <v>32</v>
      </c>
      <c r="G2066" s="50"/>
    </row>
    <row r="2067" spans="1:7" ht="15.75" thickBot="1" x14ac:dyDescent="0.3">
      <c r="A2067" s="39"/>
      <c r="B2067" s="35" t="s">
        <v>33</v>
      </c>
      <c r="C2067" s="52">
        <f>IF(C2066="","",IF(AND(MONTH(C2066)&gt;=1,MONTH(C2066)&lt;=3),1,IF(AND(MONTH(C2066)&gt;=4,MONTH(C2066)&lt;=6),2,IF(AND(MONTH(C2066)&gt;=7,MONTH(C2066)&lt;=9),3,4))))</f>
        <v>4</v>
      </c>
      <c r="D2067" s="39"/>
      <c r="E2067" s="35" t="s">
        <v>34</v>
      </c>
      <c r="F2067" s="33" t="s">
        <v>35</v>
      </c>
      <c r="G2067" s="50"/>
    </row>
    <row r="2068" spans="1:7" ht="15.75" thickBot="1" x14ac:dyDescent="0.3">
      <c r="A2068" s="39"/>
      <c r="B2068" s="35" t="s">
        <v>36</v>
      </c>
      <c r="C2068" s="51">
        <v>45248</v>
      </c>
      <c r="D2068" s="39"/>
      <c r="E2068" s="35" t="s">
        <v>37</v>
      </c>
      <c r="F2068" s="33" t="s">
        <v>35</v>
      </c>
      <c r="G2068" s="50"/>
    </row>
    <row r="2069" spans="1:7" ht="15.75" thickBot="1" x14ac:dyDescent="0.3">
      <c r="A2069" s="39"/>
      <c r="B2069" s="35" t="s">
        <v>33</v>
      </c>
      <c r="C2069" s="52">
        <f>IF(C2068="","",IF(AND(MONTH(C2068)&gt;=1,MONTH(C2068)&lt;=3),1,IF(AND(MONTH(C2068)&gt;=4,MONTH(C2068)&lt;=6),2,IF(AND(MONTH(C2068)&gt;=7,MONTH(C2068)&lt;=9),3,4))))</f>
        <v>4</v>
      </c>
      <c r="D2069" s="39"/>
      <c r="E2069" s="35" t="s">
        <v>38</v>
      </c>
      <c r="F2069" s="33" t="s">
        <v>35</v>
      </c>
      <c r="G2069" s="50"/>
    </row>
    <row r="2070" spans="1:7" ht="15.75" thickBot="1" x14ac:dyDescent="0.3">
      <c r="A2070" s="50"/>
      <c r="B2070" s="50"/>
      <c r="C2070" s="50"/>
      <c r="D2070" s="50"/>
      <c r="E2070" s="50"/>
      <c r="F2070" s="50"/>
      <c r="G2070" s="50"/>
    </row>
    <row r="2071" spans="1:7" ht="15.75" thickBot="1" x14ac:dyDescent="0.3">
      <c r="A2071" s="41" t="s">
        <v>39</v>
      </c>
      <c r="B2071" s="41" t="s">
        <v>40</v>
      </c>
      <c r="C2071" s="41" t="s">
        <v>41</v>
      </c>
      <c r="D2071" s="41" t="s">
        <v>42</v>
      </c>
      <c r="E2071" s="41" t="s">
        <v>43</v>
      </c>
      <c r="F2071" s="41" t="s">
        <v>44</v>
      </c>
      <c r="G2071" s="50"/>
    </row>
    <row r="2072" spans="1:7" ht="56.25" x14ac:dyDescent="0.25">
      <c r="A2072" s="42">
        <v>81111812</v>
      </c>
      <c r="B2072" s="43" t="str">
        <f ca="1">IFERROR(INDEX(UNSPSCDes,MATCH(INDIRECT(ADDRESS(ROW(),COLUMN()-1,4)),UNSPSCCode,0)),"")</f>
        <v>Servicio de mantenimiento o soporte del hardware del computador</v>
      </c>
      <c r="C2072" s="42" t="s">
        <v>46</v>
      </c>
      <c r="D2072" s="42">
        <v>1</v>
      </c>
      <c r="E2072" s="45">
        <v>50000</v>
      </c>
      <c r="F2072" s="46">
        <f ca="1">INDIRECT(ADDRESS(ROW(),COLUMN()-2,4))*INDIRECT(ADDRESS(ROW(),COLUMN()-1,4))</f>
        <v>50000</v>
      </c>
      <c r="G2072" s="50"/>
    </row>
    <row r="2073" spans="1:7" ht="56.25" x14ac:dyDescent="0.25">
      <c r="A2073" s="42">
        <v>81111812</v>
      </c>
      <c r="B2073" s="43" t="str">
        <f ca="1">IFERROR(INDEX(UNSPSCDes,MATCH(INDIRECT(ADDRESS(ROW(),COLUMN()-1,4)),UNSPSCCode,0)),"")</f>
        <v>Servicio de mantenimiento o soporte del hardware del computador</v>
      </c>
      <c r="C2073" s="42" t="s">
        <v>46</v>
      </c>
      <c r="D2073" s="42">
        <v>14</v>
      </c>
      <c r="E2073" s="45">
        <v>3500</v>
      </c>
      <c r="F2073" s="46">
        <f ca="1">INDIRECT(ADDRESS(ROW(),COLUMN()-2,4))*INDIRECT(ADDRESS(ROW(),COLUMN()-1,4))</f>
        <v>49000</v>
      </c>
      <c r="G2073" s="50"/>
    </row>
    <row r="2074" spans="1:7" x14ac:dyDescent="0.25">
      <c r="A2074" s="50"/>
      <c r="B2074" s="50"/>
      <c r="C2074" s="50"/>
      <c r="D2074" s="50"/>
      <c r="E2074" s="54" t="s">
        <v>49</v>
      </c>
      <c r="F2074" s="49">
        <f ca="1">SUM(Table3147[MONTO TOTAL ESTIMADO])</f>
        <v>99000</v>
      </c>
      <c r="G2074" s="50"/>
    </row>
    <row r="2075" spans="1:7" ht="15.75" thickBot="1" x14ac:dyDescent="0.3">
      <c r="A2075" s="64"/>
      <c r="B2075" s="64"/>
      <c r="C2075" s="64"/>
      <c r="D2075" s="64"/>
      <c r="E2075" s="64"/>
      <c r="F2075" s="64"/>
      <c r="G2075" s="64"/>
    </row>
    <row r="2076" spans="1:7" ht="34.5" thickBot="1" x14ac:dyDescent="0.3">
      <c r="A2076" s="31" t="s">
        <v>18</v>
      </c>
      <c r="B2076" s="31" t="s">
        <v>19</v>
      </c>
      <c r="C2076" s="31" t="s">
        <v>20</v>
      </c>
      <c r="D2076" s="31" t="s">
        <v>21</v>
      </c>
      <c r="E2076" s="31" t="s">
        <v>22</v>
      </c>
      <c r="F2076" s="31" t="s">
        <v>23</v>
      </c>
      <c r="G2076" s="50"/>
    </row>
    <row r="2077" spans="1:7" ht="15.75" thickBot="1" x14ac:dyDescent="0.3">
      <c r="A2077" s="33" t="s">
        <v>80</v>
      </c>
      <c r="B2077" s="33" t="s">
        <v>25</v>
      </c>
      <c r="C2077" s="33" t="s">
        <v>26</v>
      </c>
      <c r="D2077" s="33" t="s">
        <v>27</v>
      </c>
      <c r="E2077" s="33" t="s">
        <v>62</v>
      </c>
      <c r="F2077" s="33"/>
      <c r="G2077" s="50"/>
    </row>
    <row r="2078" spans="1:7" ht="15.75" thickBot="1" x14ac:dyDescent="0.3">
      <c r="A2078" s="34" t="s">
        <v>28</v>
      </c>
      <c r="B2078" s="35" t="s">
        <v>29</v>
      </c>
      <c r="C2078" s="51">
        <v>45261</v>
      </c>
      <c r="D2078" s="34" t="s">
        <v>30</v>
      </c>
      <c r="E2078" s="35" t="s">
        <v>31</v>
      </c>
      <c r="F2078" s="33" t="s">
        <v>32</v>
      </c>
      <c r="G2078" s="50"/>
    </row>
    <row r="2079" spans="1:7" ht="15.75" thickBot="1" x14ac:dyDescent="0.3">
      <c r="A2079" s="39"/>
      <c r="B2079" s="35" t="s">
        <v>33</v>
      </c>
      <c r="C2079" s="52">
        <f>IF(C2078="","",IF(AND(MONTH(C2078)&gt;=1,MONTH(C2078)&lt;=3),1,IF(AND(MONTH(C2078)&gt;=4,MONTH(C2078)&lt;=6),2,IF(AND(MONTH(C2078)&gt;=7,MONTH(C2078)&lt;=9),3,4))))</f>
        <v>4</v>
      </c>
      <c r="D2079" s="39"/>
      <c r="E2079" s="35" t="s">
        <v>34</v>
      </c>
      <c r="F2079" s="33" t="s">
        <v>35</v>
      </c>
      <c r="G2079" s="50"/>
    </row>
    <row r="2080" spans="1:7" ht="15.75" thickBot="1" x14ac:dyDescent="0.3">
      <c r="A2080" s="39"/>
      <c r="B2080" s="35" t="s">
        <v>36</v>
      </c>
      <c r="C2080" s="51">
        <v>45270</v>
      </c>
      <c r="D2080" s="39"/>
      <c r="E2080" s="35" t="s">
        <v>37</v>
      </c>
      <c r="F2080" s="33" t="s">
        <v>35</v>
      </c>
      <c r="G2080" s="50"/>
    </row>
    <row r="2081" spans="1:7" ht="15.75" thickBot="1" x14ac:dyDescent="0.3">
      <c r="A2081" s="39"/>
      <c r="B2081" s="35" t="s">
        <v>33</v>
      </c>
      <c r="C2081" s="52">
        <f>IF(C2080="","",IF(AND(MONTH(C2080)&gt;=1,MONTH(C2080)&lt;=3),1,IF(AND(MONTH(C2080)&gt;=4,MONTH(C2080)&lt;=6),2,IF(AND(MONTH(C2080)&gt;=7,MONTH(C2080)&lt;=9),3,4))))</f>
        <v>4</v>
      </c>
      <c r="D2081" s="39"/>
      <c r="E2081" s="35" t="s">
        <v>38</v>
      </c>
      <c r="F2081" s="33" t="s">
        <v>35</v>
      </c>
      <c r="G2081" s="50"/>
    </row>
    <row r="2082" spans="1:7" ht="15.75" thickBot="1" x14ac:dyDescent="0.3">
      <c r="A2082" s="50"/>
      <c r="B2082" s="50"/>
      <c r="C2082" s="50"/>
      <c r="D2082" s="50"/>
      <c r="E2082" s="50"/>
      <c r="F2082" s="50"/>
      <c r="G2082" s="50"/>
    </row>
    <row r="2083" spans="1:7" ht="15.75" thickBot="1" x14ac:dyDescent="0.3">
      <c r="A2083" s="41" t="s">
        <v>39</v>
      </c>
      <c r="B2083" s="41" t="s">
        <v>40</v>
      </c>
      <c r="C2083" s="41" t="s">
        <v>41</v>
      </c>
      <c r="D2083" s="41" t="s">
        <v>42</v>
      </c>
      <c r="E2083" s="41" t="s">
        <v>43</v>
      </c>
      <c r="F2083" s="41" t="s">
        <v>44</v>
      </c>
      <c r="G2083" s="50"/>
    </row>
    <row r="2084" spans="1:7" ht="22.5" x14ac:dyDescent="0.25">
      <c r="A2084" s="42">
        <v>15121801</v>
      </c>
      <c r="B2084" s="43" t="str">
        <f t="shared" ref="B2084:B2183" ca="1" si="38">IFERROR(INDEX(UNSPSCDes,MATCH(INDIRECT(ADDRESS(ROW(),COLUMN()-1,4)),UNSPSCCode,0)),"")</f>
        <v>Repelente de humedad</v>
      </c>
      <c r="C2084" s="42" t="s">
        <v>46</v>
      </c>
      <c r="D2084" s="42">
        <v>9</v>
      </c>
      <c r="E2084" s="45">
        <v>272</v>
      </c>
      <c r="F2084" s="46">
        <f t="shared" ref="F2084:F2183" ca="1" si="39">INDIRECT(ADDRESS(ROW(),COLUMN()-2,4))*INDIRECT(ADDRESS(ROW(),COLUMN()-1,4))</f>
        <v>2448</v>
      </c>
      <c r="G2084" s="50"/>
    </row>
    <row r="2085" spans="1:7" ht="22.5" x14ac:dyDescent="0.25">
      <c r="A2085" s="42">
        <v>47131812</v>
      </c>
      <c r="B2085" s="43" t="str">
        <f t="shared" ca="1" si="38"/>
        <v>Refrescador de aire</v>
      </c>
      <c r="C2085" s="42" t="s">
        <v>45</v>
      </c>
      <c r="D2085" s="42">
        <v>9</v>
      </c>
      <c r="E2085" s="45">
        <v>101</v>
      </c>
      <c r="F2085" s="46">
        <f t="shared" ca="1" si="39"/>
        <v>909</v>
      </c>
      <c r="G2085" s="50"/>
    </row>
    <row r="2086" spans="1:7" ht="22.5" x14ac:dyDescent="0.25">
      <c r="A2086" s="42">
        <v>47131812</v>
      </c>
      <c r="B2086" s="43" t="str">
        <f t="shared" ca="1" si="38"/>
        <v>Refrescador de aire</v>
      </c>
      <c r="C2086" s="42" t="s">
        <v>45</v>
      </c>
      <c r="D2086" s="42">
        <v>30</v>
      </c>
      <c r="E2086" s="45">
        <v>672</v>
      </c>
      <c r="F2086" s="46">
        <f t="shared" ca="1" si="39"/>
        <v>20160</v>
      </c>
      <c r="G2086" s="50"/>
    </row>
    <row r="2087" spans="1:7" x14ac:dyDescent="0.25">
      <c r="A2087" s="42">
        <v>44122101</v>
      </c>
      <c r="B2087" s="43" t="str">
        <f t="shared" ca="1" si="38"/>
        <v>Cauchos</v>
      </c>
      <c r="C2087" s="42" t="s">
        <v>45</v>
      </c>
      <c r="D2087" s="42">
        <v>6</v>
      </c>
      <c r="E2087" s="45">
        <v>80</v>
      </c>
      <c r="F2087" s="46">
        <f t="shared" ca="1" si="39"/>
        <v>480</v>
      </c>
      <c r="G2087" s="50"/>
    </row>
    <row r="2088" spans="1:7" x14ac:dyDescent="0.25">
      <c r="A2088" s="42">
        <v>44122101</v>
      </c>
      <c r="B2088" s="43" t="str">
        <f t="shared" ca="1" si="38"/>
        <v>Cauchos</v>
      </c>
      <c r="C2088" s="42" t="s">
        <v>46</v>
      </c>
      <c r="D2088" s="42">
        <v>72</v>
      </c>
      <c r="E2088" s="45">
        <v>26</v>
      </c>
      <c r="F2088" s="46">
        <f t="shared" ca="1" si="39"/>
        <v>1872</v>
      </c>
      <c r="G2088" s="50"/>
    </row>
    <row r="2089" spans="1:7" ht="45" x14ac:dyDescent="0.25">
      <c r="A2089" s="42">
        <v>44111503</v>
      </c>
      <c r="B2089" s="43" t="str">
        <f t="shared" ca="1" si="38"/>
        <v>Organizadores o bandejas para el escritorio</v>
      </c>
      <c r="C2089" s="42" t="s">
        <v>46</v>
      </c>
      <c r="D2089" s="42">
        <v>8</v>
      </c>
      <c r="E2089" s="45">
        <v>177</v>
      </c>
      <c r="F2089" s="46">
        <f t="shared" ca="1" si="39"/>
        <v>1416</v>
      </c>
      <c r="G2089" s="50"/>
    </row>
    <row r="2090" spans="1:7" x14ac:dyDescent="0.25">
      <c r="A2090" s="42">
        <v>44121701</v>
      </c>
      <c r="B2090" s="43" t="str">
        <f t="shared" ca="1" si="38"/>
        <v>Bolígrafos</v>
      </c>
      <c r="C2090" s="42" t="s">
        <v>45</v>
      </c>
      <c r="D2090" s="42">
        <v>100</v>
      </c>
      <c r="E2090" s="45">
        <v>62</v>
      </c>
      <c r="F2090" s="46">
        <f t="shared" ca="1" si="39"/>
        <v>6200</v>
      </c>
      <c r="G2090" s="50"/>
    </row>
    <row r="2091" spans="1:7" x14ac:dyDescent="0.25">
      <c r="A2091" s="42">
        <v>44122003</v>
      </c>
      <c r="B2091" s="43" t="str">
        <f t="shared" ca="1" si="38"/>
        <v>Carpetas</v>
      </c>
      <c r="C2091" s="42" t="s">
        <v>46</v>
      </c>
      <c r="D2091" s="42">
        <v>20</v>
      </c>
      <c r="E2091" s="45">
        <v>150</v>
      </c>
      <c r="F2091" s="46">
        <f t="shared" ca="1" si="39"/>
        <v>3000</v>
      </c>
      <c r="G2091" s="50"/>
    </row>
    <row r="2092" spans="1:7" x14ac:dyDescent="0.25">
      <c r="A2092" s="42">
        <v>44122003</v>
      </c>
      <c r="B2092" s="43" t="str">
        <f t="shared" ca="1" si="38"/>
        <v>Carpetas</v>
      </c>
      <c r="C2092" s="42" t="s">
        <v>46</v>
      </c>
      <c r="D2092" s="42">
        <v>25</v>
      </c>
      <c r="E2092" s="45">
        <v>200</v>
      </c>
      <c r="F2092" s="46">
        <f t="shared" ca="1" si="39"/>
        <v>5000</v>
      </c>
      <c r="G2092" s="50"/>
    </row>
    <row r="2093" spans="1:7" x14ac:dyDescent="0.25">
      <c r="A2093" s="42">
        <v>44122003</v>
      </c>
      <c r="B2093" s="43" t="str">
        <f t="shared" ca="1" si="38"/>
        <v>Carpetas</v>
      </c>
      <c r="C2093" s="42" t="s">
        <v>46</v>
      </c>
      <c r="D2093" s="42">
        <v>15</v>
      </c>
      <c r="E2093" s="45">
        <v>160</v>
      </c>
      <c r="F2093" s="46">
        <f t="shared" ca="1" si="39"/>
        <v>2400</v>
      </c>
      <c r="G2093" s="50"/>
    </row>
    <row r="2094" spans="1:7" x14ac:dyDescent="0.25">
      <c r="A2094" s="42">
        <v>44122003</v>
      </c>
      <c r="B2094" s="43" t="str">
        <f t="shared" ca="1" si="38"/>
        <v>Carpetas</v>
      </c>
      <c r="C2094" s="42" t="s">
        <v>46</v>
      </c>
      <c r="D2094" s="42">
        <v>20</v>
      </c>
      <c r="E2094" s="45">
        <v>250</v>
      </c>
      <c r="F2094" s="46">
        <f t="shared" ca="1" si="39"/>
        <v>5000</v>
      </c>
      <c r="G2094" s="50"/>
    </row>
    <row r="2095" spans="1:7" ht="22.5" x14ac:dyDescent="0.25">
      <c r="A2095" s="42">
        <v>12181501</v>
      </c>
      <c r="B2095" s="43" t="str">
        <f t="shared" ca="1" si="38"/>
        <v>Ceras sintéticas</v>
      </c>
      <c r="C2095" s="42" t="s">
        <v>46</v>
      </c>
      <c r="D2095" s="42">
        <v>7</v>
      </c>
      <c r="E2095" s="45">
        <v>43</v>
      </c>
      <c r="F2095" s="46">
        <f t="shared" ca="1" si="39"/>
        <v>301</v>
      </c>
      <c r="G2095" s="50"/>
    </row>
    <row r="2096" spans="1:7" x14ac:dyDescent="0.25">
      <c r="A2096" s="42">
        <v>44122101</v>
      </c>
      <c r="B2096" s="43" t="str">
        <f t="shared" ca="1" si="38"/>
        <v>Cauchos</v>
      </c>
      <c r="C2096" s="42" t="s">
        <v>45</v>
      </c>
      <c r="D2096" s="42">
        <v>6</v>
      </c>
      <c r="E2096" s="45">
        <v>65</v>
      </c>
      <c r="F2096" s="46">
        <f t="shared" ca="1" si="39"/>
        <v>390</v>
      </c>
      <c r="G2096" s="50"/>
    </row>
    <row r="2097" spans="1:7" ht="22.5" x14ac:dyDescent="0.25">
      <c r="A2097" s="42">
        <v>31191507</v>
      </c>
      <c r="B2097" s="43" t="str">
        <f t="shared" ca="1" si="38"/>
        <v>Cintas abrasivas</v>
      </c>
      <c r="C2097" s="42" t="s">
        <v>46</v>
      </c>
      <c r="D2097" s="42">
        <v>72</v>
      </c>
      <c r="E2097" s="45">
        <v>70</v>
      </c>
      <c r="F2097" s="46">
        <f t="shared" ca="1" si="39"/>
        <v>5040</v>
      </c>
      <c r="G2097" s="50"/>
    </row>
    <row r="2098" spans="1:7" ht="22.5" x14ac:dyDescent="0.25">
      <c r="A2098" s="42">
        <v>31201503</v>
      </c>
      <c r="B2098" s="43" t="str">
        <f t="shared" ca="1" si="38"/>
        <v>Cinta de enmascarar</v>
      </c>
      <c r="C2098" s="42" t="s">
        <v>46</v>
      </c>
      <c r="D2098" s="42">
        <v>58</v>
      </c>
      <c r="E2098" s="45">
        <v>65</v>
      </c>
      <c r="F2098" s="46">
        <f t="shared" ca="1" si="39"/>
        <v>3770</v>
      </c>
      <c r="G2098" s="50"/>
    </row>
    <row r="2099" spans="1:7" x14ac:dyDescent="0.25">
      <c r="A2099" s="42">
        <v>31201505</v>
      </c>
      <c r="B2099" s="43" t="str">
        <f t="shared" ca="1" si="38"/>
        <v>Cinta doble faz</v>
      </c>
      <c r="C2099" s="42" t="s">
        <v>46</v>
      </c>
      <c r="D2099" s="42">
        <v>12</v>
      </c>
      <c r="E2099" s="45">
        <v>233</v>
      </c>
      <c r="F2099" s="46">
        <f t="shared" ca="1" si="39"/>
        <v>2796</v>
      </c>
      <c r="G2099" s="50"/>
    </row>
    <row r="2100" spans="1:7" ht="22.5" x14ac:dyDescent="0.25">
      <c r="A2100" s="42">
        <v>44101805</v>
      </c>
      <c r="B2100" s="43" t="str">
        <f t="shared" ca="1" si="38"/>
        <v>Cintas para calculadoras</v>
      </c>
      <c r="C2100" s="42" t="s">
        <v>46</v>
      </c>
      <c r="D2100" s="42">
        <v>3</v>
      </c>
      <c r="E2100" s="45">
        <v>50</v>
      </c>
      <c r="F2100" s="46">
        <f t="shared" ca="1" si="39"/>
        <v>150</v>
      </c>
      <c r="G2100" s="50"/>
    </row>
    <row r="2101" spans="1:7" x14ac:dyDescent="0.25">
      <c r="A2101" s="42">
        <v>31201523</v>
      </c>
      <c r="B2101" s="43" t="str">
        <f t="shared" ca="1" si="38"/>
        <v>Cinta de tela</v>
      </c>
      <c r="C2101" s="42" t="s">
        <v>46</v>
      </c>
      <c r="D2101" s="42">
        <v>72</v>
      </c>
      <c r="E2101" s="45">
        <v>60</v>
      </c>
      <c r="F2101" s="46">
        <f t="shared" ca="1" si="39"/>
        <v>4320</v>
      </c>
      <c r="G2101" s="50"/>
    </row>
    <row r="2102" spans="1:7" ht="22.5" x14ac:dyDescent="0.25">
      <c r="A2102" s="42">
        <v>44122104</v>
      </c>
      <c r="B2102" s="43" t="str">
        <f t="shared" ca="1" si="38"/>
        <v>Clips para papel</v>
      </c>
      <c r="C2102" s="42" t="s">
        <v>45</v>
      </c>
      <c r="D2102" s="42">
        <v>3</v>
      </c>
      <c r="E2102" s="45">
        <v>165</v>
      </c>
      <c r="F2102" s="46">
        <f t="shared" ca="1" si="39"/>
        <v>495</v>
      </c>
      <c r="G2102" s="50"/>
    </row>
    <row r="2103" spans="1:7" ht="22.5" x14ac:dyDescent="0.25">
      <c r="A2103" s="42">
        <v>44122104</v>
      </c>
      <c r="B2103" s="43" t="str">
        <f t="shared" ca="1" si="38"/>
        <v>Clips para papel</v>
      </c>
      <c r="C2103" s="42" t="s">
        <v>45</v>
      </c>
      <c r="D2103" s="42">
        <v>6</v>
      </c>
      <c r="E2103" s="45">
        <v>160</v>
      </c>
      <c r="F2103" s="46">
        <f t="shared" ca="1" si="39"/>
        <v>960</v>
      </c>
      <c r="G2103" s="50"/>
    </row>
    <row r="2104" spans="1:7" ht="22.5" x14ac:dyDescent="0.25">
      <c r="A2104" s="42">
        <v>44122104</v>
      </c>
      <c r="B2104" s="43" t="str">
        <f t="shared" ca="1" si="38"/>
        <v>Clips para papel</v>
      </c>
      <c r="C2104" s="42" t="s">
        <v>45</v>
      </c>
      <c r="D2104" s="42">
        <v>20</v>
      </c>
      <c r="E2104" s="45">
        <v>350</v>
      </c>
      <c r="F2104" s="46">
        <f t="shared" ca="1" si="39"/>
        <v>7000</v>
      </c>
      <c r="G2104" s="50"/>
    </row>
    <row r="2105" spans="1:7" ht="22.5" x14ac:dyDescent="0.25">
      <c r="A2105" s="42">
        <v>44122104</v>
      </c>
      <c r="B2105" s="43" t="str">
        <f t="shared" ca="1" si="38"/>
        <v>Clips para papel</v>
      </c>
      <c r="C2105" s="42" t="s">
        <v>45</v>
      </c>
      <c r="D2105" s="42">
        <v>20</v>
      </c>
      <c r="E2105" s="45">
        <v>150</v>
      </c>
      <c r="F2105" s="46">
        <f t="shared" ca="1" si="39"/>
        <v>3000</v>
      </c>
      <c r="G2105" s="50"/>
    </row>
    <row r="2106" spans="1:7" ht="22.5" x14ac:dyDescent="0.25">
      <c r="A2106" s="42">
        <v>44122104</v>
      </c>
      <c r="B2106" s="43" t="str">
        <f t="shared" ca="1" si="38"/>
        <v>Clips para papel</v>
      </c>
      <c r="C2106" s="42" t="s">
        <v>45</v>
      </c>
      <c r="D2106" s="42">
        <v>20</v>
      </c>
      <c r="E2106" s="45">
        <v>275</v>
      </c>
      <c r="F2106" s="46">
        <f t="shared" ca="1" si="39"/>
        <v>5500</v>
      </c>
      <c r="G2106" s="50"/>
    </row>
    <row r="2107" spans="1:7" ht="22.5" x14ac:dyDescent="0.25">
      <c r="A2107" s="42">
        <v>44111611</v>
      </c>
      <c r="B2107" s="43" t="str">
        <f t="shared" ca="1" si="38"/>
        <v>Clips para billetes</v>
      </c>
      <c r="C2107" s="42" t="s">
        <v>45</v>
      </c>
      <c r="D2107" s="42">
        <v>6</v>
      </c>
      <c r="E2107" s="45">
        <v>430</v>
      </c>
      <c r="F2107" s="46">
        <f t="shared" ca="1" si="39"/>
        <v>2580</v>
      </c>
      <c r="G2107" s="50"/>
    </row>
    <row r="2108" spans="1:7" ht="22.5" x14ac:dyDescent="0.25">
      <c r="A2108" s="42">
        <v>44111611</v>
      </c>
      <c r="B2108" s="43" t="str">
        <f t="shared" ca="1" si="38"/>
        <v>Clips para billetes</v>
      </c>
      <c r="C2108" s="42" t="s">
        <v>45</v>
      </c>
      <c r="D2108" s="42">
        <v>8</v>
      </c>
      <c r="E2108" s="45">
        <v>650</v>
      </c>
      <c r="F2108" s="46">
        <f t="shared" ca="1" si="39"/>
        <v>5200</v>
      </c>
      <c r="G2108" s="50"/>
    </row>
    <row r="2109" spans="1:7" ht="22.5" x14ac:dyDescent="0.25">
      <c r="A2109" s="42">
        <v>44111611</v>
      </c>
      <c r="B2109" s="43" t="str">
        <f t="shared" ca="1" si="38"/>
        <v>Clips para billetes</v>
      </c>
      <c r="C2109" s="42" t="s">
        <v>45</v>
      </c>
      <c r="D2109" s="42">
        <v>10</v>
      </c>
      <c r="E2109" s="45">
        <v>1980</v>
      </c>
      <c r="F2109" s="46">
        <f t="shared" ca="1" si="39"/>
        <v>19800</v>
      </c>
      <c r="G2109" s="50"/>
    </row>
    <row r="2110" spans="1:7" ht="22.5" x14ac:dyDescent="0.25">
      <c r="A2110" s="42">
        <v>44121802</v>
      </c>
      <c r="B2110" s="43" t="str">
        <f t="shared" ca="1" si="38"/>
        <v>Fluido de corrección</v>
      </c>
      <c r="C2110" s="42" t="s">
        <v>45</v>
      </c>
      <c r="D2110" s="42">
        <v>3</v>
      </c>
      <c r="E2110" s="45">
        <v>360</v>
      </c>
      <c r="F2110" s="46">
        <f t="shared" ca="1" si="39"/>
        <v>1080</v>
      </c>
      <c r="G2110" s="50"/>
    </row>
    <row r="2111" spans="1:7" ht="22.5" x14ac:dyDescent="0.25">
      <c r="A2111" s="42">
        <v>44121802</v>
      </c>
      <c r="B2111" s="43" t="str">
        <f t="shared" ca="1" si="38"/>
        <v>Fluido de corrección</v>
      </c>
      <c r="C2111" s="42" t="s">
        <v>45</v>
      </c>
      <c r="D2111" s="42">
        <v>2</v>
      </c>
      <c r="E2111" s="45">
        <v>695</v>
      </c>
      <c r="F2111" s="46">
        <f t="shared" ca="1" si="39"/>
        <v>1390</v>
      </c>
      <c r="G2111" s="50"/>
    </row>
    <row r="2112" spans="1:7" ht="45" x14ac:dyDescent="0.25">
      <c r="A2112" s="42">
        <v>52151503</v>
      </c>
      <c r="B2112" s="43" t="str">
        <f t="shared" ca="1" si="38"/>
        <v>Cubiertos desechables para uso doméstico</v>
      </c>
      <c r="C2112" s="42" t="s">
        <v>45</v>
      </c>
      <c r="D2112" s="42">
        <v>8</v>
      </c>
      <c r="E2112" s="45">
        <v>540</v>
      </c>
      <c r="F2112" s="46">
        <f t="shared" ca="1" si="39"/>
        <v>4320</v>
      </c>
      <c r="G2112" s="50"/>
    </row>
    <row r="2113" spans="1:7" ht="22.5" x14ac:dyDescent="0.25">
      <c r="A2113" s="42">
        <v>44121605</v>
      </c>
      <c r="B2113" s="43" t="str">
        <f t="shared" ca="1" si="38"/>
        <v>Dispensadores de cinta</v>
      </c>
      <c r="C2113" s="42" t="s">
        <v>46</v>
      </c>
      <c r="D2113" s="42">
        <v>8</v>
      </c>
      <c r="E2113" s="45">
        <v>125</v>
      </c>
      <c r="F2113" s="46">
        <f t="shared" ca="1" si="39"/>
        <v>1000</v>
      </c>
      <c r="G2113" s="50"/>
    </row>
    <row r="2114" spans="1:7" ht="45" x14ac:dyDescent="0.25">
      <c r="A2114" s="42">
        <v>44103504</v>
      </c>
      <c r="B2114" s="43" t="str">
        <f t="shared" ca="1" si="38"/>
        <v>Alambres o espirales de encuadernación</v>
      </c>
      <c r="C2114" s="42" t="s">
        <v>45</v>
      </c>
      <c r="D2114" s="42">
        <v>6</v>
      </c>
      <c r="E2114" s="45">
        <v>550</v>
      </c>
      <c r="F2114" s="46">
        <f t="shared" ca="1" si="39"/>
        <v>3300</v>
      </c>
      <c r="G2114" s="50"/>
    </row>
    <row r="2115" spans="1:7" ht="45" x14ac:dyDescent="0.25">
      <c r="A2115" s="42">
        <v>44103504</v>
      </c>
      <c r="B2115" s="43" t="str">
        <f t="shared" ca="1" si="38"/>
        <v>Alambres o espirales de encuadernación</v>
      </c>
      <c r="C2115" s="42" t="s">
        <v>45</v>
      </c>
      <c r="D2115" s="42">
        <v>6</v>
      </c>
      <c r="E2115" s="45">
        <v>413</v>
      </c>
      <c r="F2115" s="46">
        <f t="shared" ca="1" si="39"/>
        <v>2478</v>
      </c>
      <c r="G2115" s="50"/>
    </row>
    <row r="2116" spans="1:7" ht="22.5" x14ac:dyDescent="0.25">
      <c r="A2116" s="42">
        <v>55121606</v>
      </c>
      <c r="B2116" s="43" t="str">
        <f t="shared" ca="1" si="38"/>
        <v>Etiquetas auto adhesivas</v>
      </c>
      <c r="C2116" s="42" t="s">
        <v>47</v>
      </c>
      <c r="D2116" s="42">
        <v>5</v>
      </c>
      <c r="E2116" s="45">
        <v>20</v>
      </c>
      <c r="F2116" s="46">
        <f t="shared" ca="1" si="39"/>
        <v>100</v>
      </c>
      <c r="G2116" s="50"/>
    </row>
    <row r="2117" spans="1:7" ht="22.5" x14ac:dyDescent="0.25">
      <c r="A2117" s="42">
        <v>44121707</v>
      </c>
      <c r="B2117" s="43" t="str">
        <f t="shared" ca="1" si="38"/>
        <v>Lápices de colores</v>
      </c>
      <c r="C2117" s="42" t="s">
        <v>45</v>
      </c>
      <c r="D2117" s="42">
        <v>3</v>
      </c>
      <c r="E2117" s="45">
        <v>300</v>
      </c>
      <c r="F2117" s="46">
        <f t="shared" ca="1" si="39"/>
        <v>900</v>
      </c>
      <c r="G2117" s="50"/>
    </row>
    <row r="2118" spans="1:7" ht="22.5" x14ac:dyDescent="0.25">
      <c r="A2118" s="42">
        <v>44121707</v>
      </c>
      <c r="B2118" s="43" t="str">
        <f t="shared" ca="1" si="38"/>
        <v>Lápices de colores</v>
      </c>
      <c r="C2118" s="42" t="s">
        <v>45</v>
      </c>
      <c r="D2118" s="42">
        <v>3</v>
      </c>
      <c r="E2118" s="45">
        <v>300</v>
      </c>
      <c r="F2118" s="46">
        <f t="shared" ca="1" si="39"/>
        <v>900</v>
      </c>
      <c r="G2118" s="50"/>
    </row>
    <row r="2119" spans="1:7" ht="22.5" x14ac:dyDescent="0.25">
      <c r="A2119" s="42">
        <v>44121707</v>
      </c>
      <c r="B2119" s="43" t="str">
        <f t="shared" ca="1" si="38"/>
        <v>Lápices de colores</v>
      </c>
      <c r="C2119" s="42" t="s">
        <v>45</v>
      </c>
      <c r="D2119" s="42">
        <v>3</v>
      </c>
      <c r="E2119" s="45">
        <v>300</v>
      </c>
      <c r="F2119" s="46">
        <f t="shared" ca="1" si="39"/>
        <v>900</v>
      </c>
      <c r="G2119" s="50"/>
    </row>
    <row r="2120" spans="1:7" ht="33.75" x14ac:dyDescent="0.25">
      <c r="A2120" s="42">
        <v>44122027</v>
      </c>
      <c r="B2120" s="43" t="str">
        <f t="shared" ca="1" si="38"/>
        <v>Folders de archivo expandibles</v>
      </c>
      <c r="C2120" s="42" t="s">
        <v>45</v>
      </c>
      <c r="D2120" s="42">
        <v>2</v>
      </c>
      <c r="E2120" s="45">
        <v>1218</v>
      </c>
      <c r="F2120" s="46">
        <f t="shared" ca="1" si="39"/>
        <v>2436</v>
      </c>
      <c r="G2120" s="50"/>
    </row>
    <row r="2121" spans="1:7" ht="33.75" x14ac:dyDescent="0.25">
      <c r="A2121" s="42">
        <v>44122027</v>
      </c>
      <c r="B2121" s="43" t="str">
        <f t="shared" ca="1" si="38"/>
        <v>Folders de archivo expandibles</v>
      </c>
      <c r="C2121" s="42" t="s">
        <v>45</v>
      </c>
      <c r="D2121" s="42">
        <v>5</v>
      </c>
      <c r="E2121" s="45">
        <v>1000</v>
      </c>
      <c r="F2121" s="46">
        <f t="shared" ca="1" si="39"/>
        <v>5000</v>
      </c>
      <c r="G2121" s="50"/>
    </row>
    <row r="2122" spans="1:7" ht="33.75" x14ac:dyDescent="0.25">
      <c r="A2122" s="42">
        <v>44122027</v>
      </c>
      <c r="B2122" s="43" t="str">
        <f t="shared" ca="1" si="38"/>
        <v>Folders de archivo expandibles</v>
      </c>
      <c r="C2122" s="42" t="s">
        <v>45</v>
      </c>
      <c r="D2122" s="42">
        <v>2</v>
      </c>
      <c r="E2122" s="45">
        <v>1000</v>
      </c>
      <c r="F2122" s="46">
        <f t="shared" ca="1" si="39"/>
        <v>2000</v>
      </c>
      <c r="G2122" s="50"/>
    </row>
    <row r="2123" spans="1:7" x14ac:dyDescent="0.25">
      <c r="A2123" s="42">
        <v>44121503</v>
      </c>
      <c r="B2123" s="43" t="str">
        <f t="shared" ca="1" si="38"/>
        <v>Sobres</v>
      </c>
      <c r="C2123" s="42" t="s">
        <v>45</v>
      </c>
      <c r="D2123" s="42">
        <v>45</v>
      </c>
      <c r="E2123" s="45">
        <v>240</v>
      </c>
      <c r="F2123" s="46">
        <f t="shared" ca="1" si="39"/>
        <v>10800</v>
      </c>
      <c r="G2123" s="50"/>
    </row>
    <row r="2124" spans="1:7" x14ac:dyDescent="0.25">
      <c r="A2124" s="42">
        <v>44121804</v>
      </c>
      <c r="B2124" s="43" t="str">
        <f t="shared" ca="1" si="38"/>
        <v>Borradores</v>
      </c>
      <c r="C2124" s="42" t="s">
        <v>45</v>
      </c>
      <c r="D2124" s="42">
        <v>3</v>
      </c>
      <c r="E2124" s="45">
        <v>300</v>
      </c>
      <c r="F2124" s="46">
        <f t="shared" ca="1" si="39"/>
        <v>900</v>
      </c>
      <c r="G2124" s="50"/>
    </row>
    <row r="2125" spans="1:7" x14ac:dyDescent="0.25">
      <c r="A2125" s="42">
        <v>44121615</v>
      </c>
      <c r="B2125" s="43" t="str">
        <f t="shared" ca="1" si="38"/>
        <v>Grapadoras</v>
      </c>
      <c r="C2125" s="42" t="s">
        <v>46</v>
      </c>
      <c r="D2125" s="42">
        <v>1</v>
      </c>
      <c r="E2125" s="45">
        <v>1600</v>
      </c>
      <c r="F2125" s="46">
        <f t="shared" ca="1" si="39"/>
        <v>1600</v>
      </c>
      <c r="G2125" s="50"/>
    </row>
    <row r="2126" spans="1:7" x14ac:dyDescent="0.25">
      <c r="A2126" s="42">
        <v>44121615</v>
      </c>
      <c r="B2126" s="43" t="str">
        <f t="shared" ca="1" si="38"/>
        <v>Grapadoras</v>
      </c>
      <c r="C2126" s="42" t="s">
        <v>46</v>
      </c>
      <c r="D2126" s="42">
        <v>10</v>
      </c>
      <c r="E2126" s="45">
        <v>270</v>
      </c>
      <c r="F2126" s="46">
        <f t="shared" ca="1" si="39"/>
        <v>2700</v>
      </c>
      <c r="G2126" s="50"/>
    </row>
    <row r="2127" spans="1:7" x14ac:dyDescent="0.25">
      <c r="A2127" s="42">
        <v>44122107</v>
      </c>
      <c r="B2127" s="43" t="str">
        <f t="shared" ca="1" si="38"/>
        <v>Grapas</v>
      </c>
      <c r="C2127" s="42" t="s">
        <v>45</v>
      </c>
      <c r="D2127" s="42">
        <v>2</v>
      </c>
      <c r="E2127" s="45">
        <v>550</v>
      </c>
      <c r="F2127" s="46">
        <f t="shared" ca="1" si="39"/>
        <v>1100</v>
      </c>
      <c r="G2127" s="50"/>
    </row>
    <row r="2128" spans="1:7" ht="22.5" x14ac:dyDescent="0.25">
      <c r="A2128" s="42">
        <v>44121706</v>
      </c>
      <c r="B2128" s="43" t="str">
        <f t="shared" ca="1" si="38"/>
        <v>Lápices de madera</v>
      </c>
      <c r="C2128" s="42" t="s">
        <v>45</v>
      </c>
      <c r="D2128" s="42">
        <v>48</v>
      </c>
      <c r="E2128" s="45">
        <v>42</v>
      </c>
      <c r="F2128" s="46">
        <f t="shared" ca="1" si="39"/>
        <v>2016</v>
      </c>
      <c r="G2128" s="50"/>
    </row>
    <row r="2129" spans="1:7" ht="33.75" x14ac:dyDescent="0.25">
      <c r="A2129" s="42">
        <v>14111514</v>
      </c>
      <c r="B2129" s="43" t="str">
        <f t="shared" ca="1" si="38"/>
        <v>Blocs o cuadernos de papel</v>
      </c>
      <c r="C2129" s="42" t="s">
        <v>46</v>
      </c>
      <c r="D2129" s="42">
        <v>72</v>
      </c>
      <c r="E2129" s="45">
        <v>280</v>
      </c>
      <c r="F2129" s="46">
        <f t="shared" ca="1" si="39"/>
        <v>20160</v>
      </c>
      <c r="G2129" s="50"/>
    </row>
    <row r="2130" spans="1:7" ht="33.75" x14ac:dyDescent="0.25">
      <c r="A2130" s="42">
        <v>14111514</v>
      </c>
      <c r="B2130" s="43" t="str">
        <f t="shared" ca="1" si="38"/>
        <v>Blocs o cuadernos de papel</v>
      </c>
      <c r="C2130" s="42" t="s">
        <v>46</v>
      </c>
      <c r="D2130" s="42">
        <v>72</v>
      </c>
      <c r="E2130" s="45">
        <v>35</v>
      </c>
      <c r="F2130" s="46">
        <f t="shared" ca="1" si="39"/>
        <v>2520</v>
      </c>
      <c r="G2130" s="50"/>
    </row>
    <row r="2131" spans="1:7" ht="33.75" x14ac:dyDescent="0.25">
      <c r="A2131" s="42">
        <v>44112001</v>
      </c>
      <c r="B2131" s="43" t="str">
        <f t="shared" ca="1" si="38"/>
        <v>Libretas de direcciones o repuestos</v>
      </c>
      <c r="C2131" s="42" t="s">
        <v>46</v>
      </c>
      <c r="D2131" s="42">
        <v>72</v>
      </c>
      <c r="E2131" s="45">
        <v>280</v>
      </c>
      <c r="F2131" s="46">
        <f t="shared" ca="1" si="39"/>
        <v>20160</v>
      </c>
      <c r="G2131" s="50"/>
    </row>
    <row r="2132" spans="1:7" ht="33.75" x14ac:dyDescent="0.25">
      <c r="A2132" s="42">
        <v>14111514</v>
      </c>
      <c r="B2132" s="43" t="str">
        <f t="shared" ca="1" si="38"/>
        <v>Blocs o cuadernos de papel</v>
      </c>
      <c r="C2132" s="42" t="s">
        <v>46</v>
      </c>
      <c r="D2132" s="42">
        <v>72</v>
      </c>
      <c r="E2132" s="45">
        <v>35</v>
      </c>
      <c r="F2132" s="46">
        <f t="shared" ca="1" si="39"/>
        <v>2520</v>
      </c>
      <c r="G2132" s="50"/>
    </row>
    <row r="2133" spans="1:7" ht="33.75" x14ac:dyDescent="0.25">
      <c r="A2133" s="42">
        <v>14111514</v>
      </c>
      <c r="B2133" s="43" t="str">
        <f t="shared" ca="1" si="38"/>
        <v>Blocs o cuadernos de papel</v>
      </c>
      <c r="C2133" s="42" t="s">
        <v>46</v>
      </c>
      <c r="D2133" s="42">
        <v>6</v>
      </c>
      <c r="E2133" s="45">
        <v>190</v>
      </c>
      <c r="F2133" s="46">
        <f t="shared" ca="1" si="39"/>
        <v>1140</v>
      </c>
      <c r="G2133" s="50"/>
    </row>
    <row r="2134" spans="1:7" ht="33.75" x14ac:dyDescent="0.25">
      <c r="A2134" s="42">
        <v>14111514</v>
      </c>
      <c r="B2134" s="43" t="str">
        <f t="shared" ca="1" si="38"/>
        <v>Blocs o cuadernos de papel</v>
      </c>
      <c r="C2134" s="42" t="s">
        <v>46</v>
      </c>
      <c r="D2134" s="42">
        <v>6</v>
      </c>
      <c r="E2134" s="45">
        <v>250</v>
      </c>
      <c r="F2134" s="46">
        <f t="shared" ca="1" si="39"/>
        <v>1500</v>
      </c>
      <c r="G2134" s="50"/>
    </row>
    <row r="2135" spans="1:7" ht="33.75" x14ac:dyDescent="0.25">
      <c r="A2135" s="42">
        <v>14111514</v>
      </c>
      <c r="B2135" s="43" t="str">
        <f t="shared" ca="1" si="38"/>
        <v>Blocs o cuadernos de papel</v>
      </c>
      <c r="C2135" s="42" t="s">
        <v>46</v>
      </c>
      <c r="D2135" s="42">
        <v>6</v>
      </c>
      <c r="E2135" s="45">
        <v>310</v>
      </c>
      <c r="F2135" s="46">
        <f t="shared" ca="1" si="39"/>
        <v>1860</v>
      </c>
      <c r="G2135" s="50"/>
    </row>
    <row r="2136" spans="1:7" ht="33.75" x14ac:dyDescent="0.25">
      <c r="A2136" s="42">
        <v>43202005</v>
      </c>
      <c r="B2136" s="43" t="str">
        <f t="shared" ca="1" si="38"/>
        <v>Tarjeta flash de almacenamiento de memoria</v>
      </c>
      <c r="C2136" s="42" t="s">
        <v>46</v>
      </c>
      <c r="D2136" s="42">
        <v>24</v>
      </c>
      <c r="E2136" s="45">
        <v>803</v>
      </c>
      <c r="F2136" s="46">
        <f t="shared" ca="1" si="39"/>
        <v>19272</v>
      </c>
      <c r="G2136" s="50"/>
    </row>
    <row r="2137" spans="1:7" ht="33.75" x14ac:dyDescent="0.25">
      <c r="A2137" s="42">
        <v>43202005</v>
      </c>
      <c r="B2137" s="43" t="str">
        <f t="shared" ca="1" si="38"/>
        <v>Tarjeta flash de almacenamiento de memoria</v>
      </c>
      <c r="C2137" s="42" t="s">
        <v>46</v>
      </c>
      <c r="D2137" s="42">
        <v>24</v>
      </c>
      <c r="E2137" s="45">
        <v>1055</v>
      </c>
      <c r="F2137" s="46">
        <f t="shared" ca="1" si="39"/>
        <v>25320</v>
      </c>
      <c r="G2137" s="50"/>
    </row>
    <row r="2138" spans="1:7" ht="45" x14ac:dyDescent="0.25">
      <c r="A2138" s="42">
        <v>44121621</v>
      </c>
      <c r="B2138" s="43" t="str">
        <f t="shared" ca="1" si="38"/>
        <v>Almohadillas para escritorio o sus accesorios</v>
      </c>
      <c r="C2138" s="42" t="s">
        <v>46</v>
      </c>
      <c r="D2138" s="42">
        <v>24</v>
      </c>
      <c r="E2138" s="45">
        <v>36</v>
      </c>
      <c r="F2138" s="46">
        <f t="shared" ca="1" si="39"/>
        <v>864</v>
      </c>
      <c r="G2138" s="50"/>
    </row>
    <row r="2139" spans="1:7" ht="33.75" x14ac:dyDescent="0.25">
      <c r="A2139" s="42">
        <v>60121104</v>
      </c>
      <c r="B2139" s="43" t="str">
        <f t="shared" ca="1" si="38"/>
        <v>Papel bond para para dibujo</v>
      </c>
      <c r="C2139" s="42" t="s">
        <v>48</v>
      </c>
      <c r="D2139" s="42">
        <v>10</v>
      </c>
      <c r="E2139" s="45">
        <v>281</v>
      </c>
      <c r="F2139" s="46">
        <f t="shared" ca="1" si="39"/>
        <v>2810</v>
      </c>
      <c r="G2139" s="50"/>
    </row>
    <row r="2140" spans="1:7" ht="33.75" x14ac:dyDescent="0.25">
      <c r="A2140" s="42">
        <v>60121104</v>
      </c>
      <c r="B2140" s="43" t="str">
        <f t="shared" ca="1" si="38"/>
        <v>Papel bond para para dibujo</v>
      </c>
      <c r="C2140" s="42" t="s">
        <v>45</v>
      </c>
      <c r="D2140" s="42">
        <v>35</v>
      </c>
      <c r="E2140" s="45">
        <v>2237.2800000000002</v>
      </c>
      <c r="F2140" s="46">
        <f t="shared" ca="1" si="39"/>
        <v>78304.800000000003</v>
      </c>
      <c r="G2140" s="50"/>
    </row>
    <row r="2141" spans="1:7" ht="33.75" x14ac:dyDescent="0.25">
      <c r="A2141" s="42">
        <v>60121104</v>
      </c>
      <c r="B2141" s="43" t="str">
        <f t="shared" ca="1" si="38"/>
        <v>Papel bond para para dibujo</v>
      </c>
      <c r="C2141" s="42" t="s">
        <v>48</v>
      </c>
      <c r="D2141" s="42">
        <v>12</v>
      </c>
      <c r="E2141" s="45">
        <v>280</v>
      </c>
      <c r="F2141" s="46">
        <f t="shared" ca="1" si="39"/>
        <v>3360</v>
      </c>
      <c r="G2141" s="50"/>
    </row>
    <row r="2142" spans="1:7" ht="33.75" x14ac:dyDescent="0.25">
      <c r="A2142" s="42">
        <v>60121104</v>
      </c>
      <c r="B2142" s="43" t="str">
        <f t="shared" ca="1" si="38"/>
        <v>Papel bond para para dibujo</v>
      </c>
      <c r="C2142" s="42" t="s">
        <v>46</v>
      </c>
      <c r="D2142" s="42">
        <v>20</v>
      </c>
      <c r="E2142" s="45">
        <v>55</v>
      </c>
      <c r="F2142" s="46">
        <f t="shared" ca="1" si="39"/>
        <v>1100</v>
      </c>
      <c r="G2142" s="50"/>
    </row>
    <row r="2143" spans="1:7" ht="33.75" x14ac:dyDescent="0.25">
      <c r="A2143" s="42">
        <v>60121104</v>
      </c>
      <c r="B2143" s="43" t="str">
        <f t="shared" ca="1" si="38"/>
        <v>Papel bond para para dibujo</v>
      </c>
      <c r="C2143" s="42" t="s">
        <v>48</v>
      </c>
      <c r="D2143" s="42">
        <v>8</v>
      </c>
      <c r="E2143" s="45">
        <v>307</v>
      </c>
      <c r="F2143" s="46">
        <f t="shared" ca="1" si="39"/>
        <v>2456</v>
      </c>
      <c r="G2143" s="50"/>
    </row>
    <row r="2144" spans="1:7" ht="33.75" x14ac:dyDescent="0.25">
      <c r="A2144" s="42">
        <v>44122017</v>
      </c>
      <c r="B2144" s="43" t="str">
        <f t="shared" ca="1" si="38"/>
        <v>Folders de colgar o accesorios</v>
      </c>
      <c r="C2144" s="42" t="s">
        <v>45</v>
      </c>
      <c r="D2144" s="42">
        <v>6</v>
      </c>
      <c r="E2144" s="45">
        <v>461</v>
      </c>
      <c r="F2144" s="46">
        <f t="shared" ca="1" si="39"/>
        <v>2766</v>
      </c>
      <c r="G2144" s="50"/>
    </row>
    <row r="2145" spans="1:7" ht="33.75" x14ac:dyDescent="0.25">
      <c r="A2145" s="42">
        <v>44101716</v>
      </c>
      <c r="B2145" s="43" t="str">
        <f t="shared" ca="1" si="38"/>
        <v>Unidades de perforación de orificios</v>
      </c>
      <c r="C2145" s="42" t="s">
        <v>46</v>
      </c>
      <c r="D2145" s="42">
        <v>2</v>
      </c>
      <c r="E2145" s="45">
        <v>400</v>
      </c>
      <c r="F2145" s="46">
        <f t="shared" ca="1" si="39"/>
        <v>800</v>
      </c>
      <c r="G2145" s="50"/>
    </row>
    <row r="2146" spans="1:7" ht="45" x14ac:dyDescent="0.25">
      <c r="A2146" s="42">
        <v>44121628</v>
      </c>
      <c r="B2146" s="43" t="str">
        <f t="shared" ca="1" si="38"/>
        <v>Contenedores o dispensadores de clips</v>
      </c>
      <c r="C2146" s="42" t="s">
        <v>46</v>
      </c>
      <c r="D2146" s="42">
        <v>6</v>
      </c>
      <c r="E2146" s="45">
        <v>36</v>
      </c>
      <c r="F2146" s="46">
        <f t="shared" ca="1" si="39"/>
        <v>216</v>
      </c>
      <c r="G2146" s="50"/>
    </row>
    <row r="2147" spans="1:7" ht="33.75" x14ac:dyDescent="0.25">
      <c r="A2147" s="42">
        <v>44111509</v>
      </c>
      <c r="B2147" s="43" t="str">
        <f t="shared" ca="1" si="38"/>
        <v>Sujetadores de esferos o lápices</v>
      </c>
      <c r="C2147" s="42" t="s">
        <v>46</v>
      </c>
      <c r="D2147" s="42">
        <v>6</v>
      </c>
      <c r="E2147" s="45">
        <v>75</v>
      </c>
      <c r="F2147" s="46">
        <f t="shared" ca="1" si="39"/>
        <v>450</v>
      </c>
      <c r="G2147" s="50"/>
    </row>
    <row r="2148" spans="1:7" ht="22.5" x14ac:dyDescent="0.25">
      <c r="A2148" s="42">
        <v>14111815</v>
      </c>
      <c r="B2148" s="43" t="str">
        <f t="shared" ca="1" si="38"/>
        <v>Tarjetas de identificación</v>
      </c>
      <c r="C2148" s="42" t="s">
        <v>47</v>
      </c>
      <c r="D2148" s="42">
        <v>3</v>
      </c>
      <c r="E2148" s="45">
        <v>800</v>
      </c>
      <c r="F2148" s="46">
        <f t="shared" ca="1" si="39"/>
        <v>2400</v>
      </c>
      <c r="G2148" s="50"/>
    </row>
    <row r="2149" spans="1:7" ht="22.5" x14ac:dyDescent="0.25">
      <c r="A2149" s="42">
        <v>14111530</v>
      </c>
      <c r="B2149" s="43" t="str">
        <f t="shared" ca="1" si="38"/>
        <v>Papel de notas autoadhesivas</v>
      </c>
      <c r="C2149" s="42" t="s">
        <v>47</v>
      </c>
      <c r="D2149" s="42">
        <v>6</v>
      </c>
      <c r="E2149" s="45">
        <v>20</v>
      </c>
      <c r="F2149" s="46">
        <f t="shared" ca="1" si="39"/>
        <v>120</v>
      </c>
      <c r="G2149" s="50"/>
    </row>
    <row r="2150" spans="1:7" ht="22.5" x14ac:dyDescent="0.25">
      <c r="A2150" s="42">
        <v>14111530</v>
      </c>
      <c r="B2150" s="43" t="str">
        <f t="shared" ca="1" si="38"/>
        <v>Papel de notas autoadhesivas</v>
      </c>
      <c r="C2150" s="42" t="s">
        <v>47</v>
      </c>
      <c r="D2150" s="42">
        <v>8</v>
      </c>
      <c r="E2150" s="45">
        <v>320</v>
      </c>
      <c r="F2150" s="46">
        <f t="shared" ca="1" si="39"/>
        <v>2560</v>
      </c>
      <c r="G2150" s="50"/>
    </row>
    <row r="2151" spans="1:7" ht="22.5" x14ac:dyDescent="0.25">
      <c r="A2151" s="42">
        <v>14111530</v>
      </c>
      <c r="B2151" s="43" t="str">
        <f t="shared" ca="1" si="38"/>
        <v>Papel de notas autoadhesivas</v>
      </c>
      <c r="C2151" s="42" t="s">
        <v>47</v>
      </c>
      <c r="D2151" s="42">
        <v>12</v>
      </c>
      <c r="E2151" s="45">
        <v>600</v>
      </c>
      <c r="F2151" s="46">
        <f t="shared" ca="1" si="39"/>
        <v>7200</v>
      </c>
      <c r="G2151" s="50"/>
    </row>
    <row r="2152" spans="1:7" ht="22.5" x14ac:dyDescent="0.25">
      <c r="A2152" s="42">
        <v>44122002</v>
      </c>
      <c r="B2152" s="43" t="str">
        <f t="shared" ca="1" si="38"/>
        <v>Protectores de hojas</v>
      </c>
      <c r="C2152" s="42" t="s">
        <v>47</v>
      </c>
      <c r="D2152" s="42">
        <v>12</v>
      </c>
      <c r="E2152" s="45">
        <v>200</v>
      </c>
      <c r="F2152" s="46">
        <f t="shared" ca="1" si="39"/>
        <v>2400</v>
      </c>
      <c r="G2152" s="50"/>
    </row>
    <row r="2153" spans="1:7" x14ac:dyDescent="0.25">
      <c r="A2153" s="42">
        <v>44111808</v>
      </c>
      <c r="B2153" s="43" t="str">
        <f t="shared" ca="1" si="38"/>
        <v>Reglas t</v>
      </c>
      <c r="C2153" s="42" t="s">
        <v>46</v>
      </c>
      <c r="D2153" s="42">
        <v>12</v>
      </c>
      <c r="E2153" s="45">
        <v>25</v>
      </c>
      <c r="F2153" s="46">
        <f t="shared" ca="1" si="39"/>
        <v>300</v>
      </c>
      <c r="G2153" s="50"/>
    </row>
    <row r="2154" spans="1:7" x14ac:dyDescent="0.25">
      <c r="A2154" s="42">
        <v>44111808</v>
      </c>
      <c r="B2154" s="43" t="str">
        <f t="shared" ca="1" si="38"/>
        <v>Reglas t</v>
      </c>
      <c r="C2154" s="42" t="s">
        <v>46</v>
      </c>
      <c r="D2154" s="42">
        <v>6</v>
      </c>
      <c r="E2154" s="45">
        <v>15</v>
      </c>
      <c r="F2154" s="46">
        <f t="shared" ca="1" si="39"/>
        <v>90</v>
      </c>
      <c r="G2154" s="50"/>
    </row>
    <row r="2155" spans="1:7" ht="33.75" x14ac:dyDescent="0.25">
      <c r="A2155" s="42">
        <v>26121704</v>
      </c>
      <c r="B2155" s="43" t="str">
        <f t="shared" ca="1" si="38"/>
        <v>Arnés de alambrado especial</v>
      </c>
      <c r="C2155" s="42" t="s">
        <v>46</v>
      </c>
      <c r="D2155" s="42">
        <v>6</v>
      </c>
      <c r="E2155" s="45">
        <v>420</v>
      </c>
      <c r="F2155" s="46">
        <f t="shared" ca="1" si="39"/>
        <v>2520</v>
      </c>
      <c r="G2155" s="50"/>
    </row>
    <row r="2156" spans="1:7" x14ac:dyDescent="0.25">
      <c r="A2156" s="42">
        <v>44121716</v>
      </c>
      <c r="B2156" s="43" t="str">
        <f t="shared" ca="1" si="38"/>
        <v>Resaltadores</v>
      </c>
      <c r="C2156" s="42" t="s">
        <v>45</v>
      </c>
      <c r="D2156" s="42">
        <v>6</v>
      </c>
      <c r="E2156" s="45">
        <v>180</v>
      </c>
      <c r="F2156" s="46">
        <f t="shared" ca="1" si="39"/>
        <v>1080</v>
      </c>
      <c r="G2156" s="50"/>
    </row>
    <row r="2157" spans="1:7" x14ac:dyDescent="0.25">
      <c r="A2157" s="42">
        <v>44121716</v>
      </c>
      <c r="B2157" s="43" t="str">
        <f t="shared" ca="1" si="38"/>
        <v>Resaltadores</v>
      </c>
      <c r="C2157" s="42" t="s">
        <v>45</v>
      </c>
      <c r="D2157" s="42">
        <v>3</v>
      </c>
      <c r="E2157" s="45">
        <v>181</v>
      </c>
      <c r="F2157" s="46">
        <f t="shared" ca="1" si="39"/>
        <v>543</v>
      </c>
      <c r="G2157" s="50"/>
    </row>
    <row r="2158" spans="1:7" x14ac:dyDescent="0.25">
      <c r="A2158" s="42">
        <v>44121716</v>
      </c>
      <c r="B2158" s="43" t="str">
        <f t="shared" ca="1" si="38"/>
        <v>Resaltadores</v>
      </c>
      <c r="C2158" s="42" t="s">
        <v>45</v>
      </c>
      <c r="D2158" s="42">
        <v>3</v>
      </c>
      <c r="E2158" s="45">
        <v>181</v>
      </c>
      <c r="F2158" s="46">
        <f t="shared" ca="1" si="39"/>
        <v>543</v>
      </c>
      <c r="G2158" s="50"/>
    </row>
    <row r="2159" spans="1:7" x14ac:dyDescent="0.25">
      <c r="A2159" s="42">
        <v>44121716</v>
      </c>
      <c r="B2159" s="43" t="str">
        <f t="shared" ca="1" si="38"/>
        <v>Resaltadores</v>
      </c>
      <c r="C2159" s="42" t="s">
        <v>65</v>
      </c>
      <c r="D2159" s="42">
        <v>3</v>
      </c>
      <c r="E2159" s="45">
        <v>235</v>
      </c>
      <c r="F2159" s="46">
        <f t="shared" ca="1" si="39"/>
        <v>705</v>
      </c>
      <c r="G2159" s="50"/>
    </row>
    <row r="2160" spans="1:7" ht="22.5" x14ac:dyDescent="0.25">
      <c r="A2160" s="42">
        <v>44121619</v>
      </c>
      <c r="B2160" s="43" t="str">
        <f t="shared" ca="1" si="38"/>
        <v>Tajalápices manuales</v>
      </c>
      <c r="C2160" s="42" t="s">
        <v>46</v>
      </c>
      <c r="D2160" s="42">
        <v>2</v>
      </c>
      <c r="E2160" s="45">
        <v>1000</v>
      </c>
      <c r="F2160" s="46">
        <f t="shared" ca="1" si="39"/>
        <v>2000</v>
      </c>
      <c r="G2160" s="50"/>
    </row>
    <row r="2161" spans="1:7" x14ac:dyDescent="0.25">
      <c r="A2161" s="42">
        <v>44121503</v>
      </c>
      <c r="B2161" s="43" t="str">
        <f t="shared" ca="1" si="38"/>
        <v>Sobres</v>
      </c>
      <c r="C2161" s="42" t="s">
        <v>46</v>
      </c>
      <c r="D2161" s="42">
        <v>20</v>
      </c>
      <c r="E2161" s="45">
        <v>23.73</v>
      </c>
      <c r="F2161" s="46">
        <f t="shared" ca="1" si="39"/>
        <v>474.6</v>
      </c>
      <c r="G2161" s="50"/>
    </row>
    <row r="2162" spans="1:7" x14ac:dyDescent="0.25">
      <c r="A2162" s="42">
        <v>44121503</v>
      </c>
      <c r="B2162" s="43" t="str">
        <f t="shared" ca="1" si="38"/>
        <v>Sobres</v>
      </c>
      <c r="C2162" s="42" t="s">
        <v>45</v>
      </c>
      <c r="D2162" s="42">
        <v>2</v>
      </c>
      <c r="E2162" s="45">
        <v>2000</v>
      </c>
      <c r="F2162" s="46">
        <f t="shared" ca="1" si="39"/>
        <v>4000</v>
      </c>
      <c r="G2162" s="50"/>
    </row>
    <row r="2163" spans="1:7" x14ac:dyDescent="0.25">
      <c r="A2163" s="42">
        <v>44121503</v>
      </c>
      <c r="B2163" s="43" t="str">
        <f t="shared" ca="1" si="38"/>
        <v>Sobres</v>
      </c>
      <c r="C2163" s="42" t="s">
        <v>45</v>
      </c>
      <c r="D2163" s="42">
        <v>2</v>
      </c>
      <c r="E2163" s="45">
        <v>1800</v>
      </c>
      <c r="F2163" s="46">
        <f t="shared" ca="1" si="39"/>
        <v>3600</v>
      </c>
      <c r="G2163" s="50"/>
    </row>
    <row r="2164" spans="1:7" x14ac:dyDescent="0.25">
      <c r="A2164" s="42">
        <v>44121503</v>
      </c>
      <c r="B2164" s="43" t="str">
        <f t="shared" ca="1" si="38"/>
        <v>Sobres</v>
      </c>
      <c r="C2164" s="42" t="s">
        <v>45</v>
      </c>
      <c r="D2164" s="42">
        <v>2</v>
      </c>
      <c r="E2164" s="45">
        <v>1800</v>
      </c>
      <c r="F2164" s="46">
        <f t="shared" ca="1" si="39"/>
        <v>3600</v>
      </c>
      <c r="G2164" s="50"/>
    </row>
    <row r="2165" spans="1:7" x14ac:dyDescent="0.25">
      <c r="A2165" s="42">
        <v>44121503</v>
      </c>
      <c r="B2165" s="43" t="str">
        <f t="shared" ca="1" si="38"/>
        <v>Sobres</v>
      </c>
      <c r="C2165" s="42" t="s">
        <v>45</v>
      </c>
      <c r="D2165" s="42">
        <v>1</v>
      </c>
      <c r="E2165" s="45">
        <v>1500</v>
      </c>
      <c r="F2165" s="46">
        <f t="shared" ca="1" si="39"/>
        <v>1500</v>
      </c>
      <c r="G2165" s="50"/>
    </row>
    <row r="2166" spans="1:7" ht="22.5" x14ac:dyDescent="0.25">
      <c r="A2166" s="42">
        <v>60121152</v>
      </c>
      <c r="B2166" s="43" t="str">
        <f t="shared" ca="1" si="38"/>
        <v>Tablillas de escritura</v>
      </c>
      <c r="C2166" s="42" t="s">
        <v>46</v>
      </c>
      <c r="D2166" s="42">
        <v>12</v>
      </c>
      <c r="E2166" s="45">
        <v>195</v>
      </c>
      <c r="F2166" s="46">
        <f t="shared" ca="1" si="39"/>
        <v>2340</v>
      </c>
      <c r="G2166" s="50"/>
    </row>
    <row r="2167" spans="1:7" ht="33.75" x14ac:dyDescent="0.25">
      <c r="A2167" s="42">
        <v>44103502</v>
      </c>
      <c r="B2167" s="43" t="str">
        <f t="shared" ca="1" si="38"/>
        <v>Tapas de encuadernación</v>
      </c>
      <c r="C2167" s="42" t="s">
        <v>47</v>
      </c>
      <c r="D2167" s="42">
        <v>24</v>
      </c>
      <c r="E2167" s="45">
        <v>410</v>
      </c>
      <c r="F2167" s="46">
        <f t="shared" ca="1" si="39"/>
        <v>9840</v>
      </c>
      <c r="G2167" s="50"/>
    </row>
    <row r="2168" spans="1:7" ht="33.75" x14ac:dyDescent="0.25">
      <c r="A2168" s="42">
        <v>44103502</v>
      </c>
      <c r="B2168" s="43" t="str">
        <f t="shared" ca="1" si="38"/>
        <v>Tapas de encuadernación</v>
      </c>
      <c r="C2168" s="42" t="s">
        <v>47</v>
      </c>
      <c r="D2168" s="42">
        <v>24</v>
      </c>
      <c r="E2168" s="45">
        <v>425</v>
      </c>
      <c r="F2168" s="46">
        <f t="shared" ca="1" si="39"/>
        <v>10200</v>
      </c>
      <c r="G2168" s="50"/>
    </row>
    <row r="2169" spans="1:7" ht="33.75" x14ac:dyDescent="0.25">
      <c r="A2169" s="42">
        <v>44103502</v>
      </c>
      <c r="B2169" s="43" t="str">
        <f t="shared" ca="1" si="38"/>
        <v>Tapas de encuadernación</v>
      </c>
      <c r="C2169" s="42" t="s">
        <v>47</v>
      </c>
      <c r="D2169" s="42">
        <v>12</v>
      </c>
      <c r="E2169" s="45">
        <v>450</v>
      </c>
      <c r="F2169" s="46">
        <f t="shared" ca="1" si="39"/>
        <v>5400</v>
      </c>
      <c r="G2169" s="50"/>
    </row>
    <row r="2170" spans="1:7" x14ac:dyDescent="0.25">
      <c r="A2170" s="42">
        <v>44121618</v>
      </c>
      <c r="B2170" s="43" t="str">
        <f t="shared" ca="1" si="38"/>
        <v>Tijeras</v>
      </c>
      <c r="C2170" s="42" t="s">
        <v>46</v>
      </c>
      <c r="D2170" s="42">
        <v>6</v>
      </c>
      <c r="E2170" s="45">
        <v>45</v>
      </c>
      <c r="F2170" s="46">
        <f t="shared" ca="1" si="39"/>
        <v>270</v>
      </c>
      <c r="G2170" s="50"/>
    </row>
    <row r="2171" spans="1:7" x14ac:dyDescent="0.25">
      <c r="A2171" s="42">
        <v>44103111</v>
      </c>
      <c r="B2171" s="43" t="str">
        <f t="shared" ca="1" si="38"/>
        <v>Rollos de tinta</v>
      </c>
      <c r="C2171" s="42" t="s">
        <v>46</v>
      </c>
      <c r="D2171" s="42">
        <v>3</v>
      </c>
      <c r="E2171" s="45">
        <v>55</v>
      </c>
      <c r="F2171" s="46">
        <f t="shared" ca="1" si="39"/>
        <v>165</v>
      </c>
      <c r="G2171" s="50"/>
    </row>
    <row r="2172" spans="1:7" ht="33.75" x14ac:dyDescent="0.25">
      <c r="A2172" s="42">
        <v>60121104</v>
      </c>
      <c r="B2172" s="43" t="str">
        <f t="shared" ca="1" si="38"/>
        <v>Papel bond para para dibujo</v>
      </c>
      <c r="C2172" s="42" t="s">
        <v>45</v>
      </c>
      <c r="D2172" s="42">
        <v>10</v>
      </c>
      <c r="E2172" s="45">
        <v>2237.2800000000002</v>
      </c>
      <c r="F2172" s="46">
        <f t="shared" ca="1" si="39"/>
        <v>22372.800000000003</v>
      </c>
      <c r="G2172" s="50"/>
    </row>
    <row r="2173" spans="1:7" ht="33.75" x14ac:dyDescent="0.25">
      <c r="A2173" s="42">
        <v>82121505</v>
      </c>
      <c r="B2173" s="43" t="str">
        <f t="shared" ca="1" si="38"/>
        <v>Impresión promocional o publicitaria</v>
      </c>
      <c r="C2173" s="42" t="s">
        <v>46</v>
      </c>
      <c r="D2173" s="42">
        <v>500</v>
      </c>
      <c r="E2173" s="45">
        <v>50</v>
      </c>
      <c r="F2173" s="46">
        <f t="shared" ca="1" si="39"/>
        <v>25000</v>
      </c>
      <c r="G2173" s="50"/>
    </row>
    <row r="2174" spans="1:7" ht="45" x14ac:dyDescent="0.25">
      <c r="A2174" s="42">
        <v>80141611</v>
      </c>
      <c r="B2174" s="43" t="str">
        <f t="shared" ca="1" si="38"/>
        <v>Servicios de personalización de obsequios o productos</v>
      </c>
      <c r="C2174" s="42" t="s">
        <v>46</v>
      </c>
      <c r="D2174" s="42">
        <v>500</v>
      </c>
      <c r="E2174" s="45">
        <v>90</v>
      </c>
      <c r="F2174" s="46">
        <f t="shared" ca="1" si="39"/>
        <v>45000</v>
      </c>
      <c r="G2174" s="50"/>
    </row>
    <row r="2175" spans="1:7" ht="22.5" x14ac:dyDescent="0.25">
      <c r="A2175" s="42">
        <v>44121506</v>
      </c>
      <c r="B2175" s="43" t="str">
        <f t="shared" ca="1" si="38"/>
        <v>Sobres estándar</v>
      </c>
      <c r="C2175" s="42" t="s">
        <v>46</v>
      </c>
      <c r="D2175" s="42">
        <v>500</v>
      </c>
      <c r="E2175" s="45">
        <v>70</v>
      </c>
      <c r="F2175" s="46">
        <f t="shared" ca="1" si="39"/>
        <v>35000</v>
      </c>
      <c r="G2175" s="50"/>
    </row>
    <row r="2176" spans="1:7" ht="22.5" x14ac:dyDescent="0.25">
      <c r="A2176" s="42">
        <v>14111815</v>
      </c>
      <c r="B2176" s="43" t="str">
        <f t="shared" ca="1" si="38"/>
        <v>Tarjetas de identificación</v>
      </c>
      <c r="C2176" s="42" t="s">
        <v>47</v>
      </c>
      <c r="D2176" s="42">
        <v>500</v>
      </c>
      <c r="E2176" s="45">
        <v>4</v>
      </c>
      <c r="F2176" s="46">
        <f t="shared" ca="1" si="39"/>
        <v>2000</v>
      </c>
      <c r="G2176" s="50"/>
    </row>
    <row r="2177" spans="1:7" x14ac:dyDescent="0.25">
      <c r="A2177" s="42">
        <v>53141507</v>
      </c>
      <c r="B2177" s="43" t="str">
        <f t="shared" ca="1" si="38"/>
        <v>Broches</v>
      </c>
      <c r="C2177" s="42" t="s">
        <v>46</v>
      </c>
      <c r="D2177" s="42">
        <v>300</v>
      </c>
      <c r="E2177" s="45">
        <v>350</v>
      </c>
      <c r="F2177" s="46">
        <f t="shared" ca="1" si="39"/>
        <v>105000</v>
      </c>
      <c r="G2177" s="50"/>
    </row>
    <row r="2178" spans="1:7" ht="45" x14ac:dyDescent="0.25">
      <c r="A2178" s="42">
        <v>80141611</v>
      </c>
      <c r="B2178" s="43" t="str">
        <f t="shared" ca="1" si="38"/>
        <v>Servicios de personalización de obsequios o productos</v>
      </c>
      <c r="C2178" s="42" t="s">
        <v>46</v>
      </c>
      <c r="D2178" s="42">
        <v>300</v>
      </c>
      <c r="E2178" s="45">
        <v>120</v>
      </c>
      <c r="F2178" s="46">
        <f t="shared" ca="1" si="39"/>
        <v>36000</v>
      </c>
      <c r="G2178" s="50"/>
    </row>
    <row r="2179" spans="1:7" ht="33.75" x14ac:dyDescent="0.25">
      <c r="A2179" s="42">
        <v>82121505</v>
      </c>
      <c r="B2179" s="43" t="str">
        <f t="shared" ca="1" si="38"/>
        <v>Impresión promocional o publicitaria</v>
      </c>
      <c r="C2179" s="42" t="s">
        <v>46</v>
      </c>
      <c r="D2179" s="42">
        <v>300</v>
      </c>
      <c r="E2179" s="45">
        <v>700</v>
      </c>
      <c r="F2179" s="46">
        <f t="shared" ca="1" si="39"/>
        <v>210000</v>
      </c>
      <c r="G2179" s="50"/>
    </row>
    <row r="2180" spans="1:7" ht="33.75" x14ac:dyDescent="0.25">
      <c r="A2180" s="42">
        <v>82121505</v>
      </c>
      <c r="B2180" s="43" t="str">
        <f t="shared" ca="1" si="38"/>
        <v>Impresión promocional o publicitaria</v>
      </c>
      <c r="C2180" s="42" t="s">
        <v>46</v>
      </c>
      <c r="D2180" s="42">
        <v>20</v>
      </c>
      <c r="E2180" s="45">
        <v>5000</v>
      </c>
      <c r="F2180" s="46">
        <f t="shared" ca="1" si="39"/>
        <v>100000</v>
      </c>
      <c r="G2180" s="50"/>
    </row>
    <row r="2181" spans="1:7" x14ac:dyDescent="0.25">
      <c r="A2181" s="42">
        <v>53141507</v>
      </c>
      <c r="B2181" s="43" t="str">
        <f t="shared" ca="1" si="38"/>
        <v>Broches</v>
      </c>
      <c r="C2181" s="42" t="s">
        <v>46</v>
      </c>
      <c r="D2181" s="42">
        <v>400</v>
      </c>
      <c r="E2181" s="45">
        <v>350</v>
      </c>
      <c r="F2181" s="46">
        <f t="shared" ca="1" si="39"/>
        <v>140000</v>
      </c>
      <c r="G2181" s="50"/>
    </row>
    <row r="2182" spans="1:7" ht="33.75" x14ac:dyDescent="0.25">
      <c r="A2182" s="42">
        <v>55101510</v>
      </c>
      <c r="B2182" s="43" t="str">
        <f t="shared" ca="1" si="38"/>
        <v>Libros para entretenimiento</v>
      </c>
      <c r="C2182" s="42" t="s">
        <v>46</v>
      </c>
      <c r="D2182" s="42">
        <v>3</v>
      </c>
      <c r="E2182" s="45">
        <v>1000</v>
      </c>
      <c r="F2182" s="46">
        <f t="shared" ca="1" si="39"/>
        <v>3000</v>
      </c>
      <c r="G2182" s="50"/>
    </row>
    <row r="2183" spans="1:7" ht="22.5" x14ac:dyDescent="0.25">
      <c r="A2183" s="42">
        <v>43202001</v>
      </c>
      <c r="B2183" s="43" t="str">
        <f t="shared" ca="1" si="38"/>
        <v>Discos compactos cd</v>
      </c>
      <c r="C2183" s="42" t="s">
        <v>46</v>
      </c>
      <c r="D2183" s="42">
        <v>9</v>
      </c>
      <c r="E2183" s="45">
        <v>25</v>
      </c>
      <c r="F2183" s="46">
        <f t="shared" ca="1" si="39"/>
        <v>225</v>
      </c>
      <c r="G2183" s="50"/>
    </row>
    <row r="2184" spans="1:7" x14ac:dyDescent="0.25">
      <c r="A2184" s="50"/>
      <c r="B2184" s="50"/>
      <c r="C2184" s="50"/>
      <c r="D2184" s="50"/>
      <c r="E2184" s="54" t="s">
        <v>49</v>
      </c>
      <c r="F2184" s="49">
        <f ca="1">SUM(Table3148[MONTO TOTAL ESTIMADO])</f>
        <v>1130134.2</v>
      </c>
      <c r="G2184" s="50"/>
    </row>
    <row r="2185" spans="1:7" ht="15.75" thickBot="1" x14ac:dyDescent="0.3">
      <c r="A2185" s="64"/>
      <c r="B2185" s="64"/>
      <c r="C2185" s="64"/>
      <c r="D2185" s="64"/>
      <c r="E2185" s="64"/>
      <c r="F2185" s="64"/>
      <c r="G2185" s="64"/>
    </row>
    <row r="2186" spans="1:7" ht="34.5" thickBot="1" x14ac:dyDescent="0.3">
      <c r="A2186" s="31" t="s">
        <v>18</v>
      </c>
      <c r="B2186" s="31" t="s">
        <v>19</v>
      </c>
      <c r="C2186" s="31" t="s">
        <v>20</v>
      </c>
      <c r="D2186" s="31" t="s">
        <v>21</v>
      </c>
      <c r="E2186" s="31" t="s">
        <v>22</v>
      </c>
      <c r="F2186" s="31" t="s">
        <v>23</v>
      </c>
      <c r="G2186" s="50"/>
    </row>
    <row r="2187" spans="1:7" ht="15.75" thickBot="1" x14ac:dyDescent="0.3">
      <c r="A2187" s="33" t="s">
        <v>50</v>
      </c>
      <c r="B2187" s="33" t="s">
        <v>95</v>
      </c>
      <c r="C2187" s="33" t="s">
        <v>26</v>
      </c>
      <c r="D2187" s="33" t="s">
        <v>52</v>
      </c>
      <c r="E2187" s="33" t="s">
        <v>53</v>
      </c>
      <c r="F2187" s="33"/>
      <c r="G2187" s="50"/>
    </row>
    <row r="2188" spans="1:7" ht="15.75" thickBot="1" x14ac:dyDescent="0.3">
      <c r="A2188" s="34" t="s">
        <v>28</v>
      </c>
      <c r="B2188" s="35" t="s">
        <v>29</v>
      </c>
      <c r="C2188" s="51">
        <v>45264</v>
      </c>
      <c r="D2188" s="34" t="s">
        <v>30</v>
      </c>
      <c r="E2188" s="35" t="s">
        <v>31</v>
      </c>
      <c r="F2188" s="33" t="s">
        <v>32</v>
      </c>
      <c r="G2188" s="50"/>
    </row>
    <row r="2189" spans="1:7" ht="15.75" thickBot="1" x14ac:dyDescent="0.3">
      <c r="A2189" s="39"/>
      <c r="B2189" s="35" t="s">
        <v>33</v>
      </c>
      <c r="C2189" s="52">
        <f>IF(C2188="","",IF(AND(MONTH(C2188)&gt;=1,MONTH(C2188)&lt;=3),1,IF(AND(MONTH(C2188)&gt;=4,MONTH(C2188)&lt;=6),2,IF(AND(MONTH(C2188)&gt;=7,MONTH(C2188)&lt;=9),3,4))))</f>
        <v>4</v>
      </c>
      <c r="D2189" s="39"/>
      <c r="E2189" s="35" t="s">
        <v>34</v>
      </c>
      <c r="F2189" s="33" t="s">
        <v>35</v>
      </c>
      <c r="G2189" s="50"/>
    </row>
    <row r="2190" spans="1:7" ht="15.75" thickBot="1" x14ac:dyDescent="0.3">
      <c r="A2190" s="39"/>
      <c r="B2190" s="35" t="s">
        <v>36</v>
      </c>
      <c r="C2190" s="51">
        <v>45273</v>
      </c>
      <c r="D2190" s="39"/>
      <c r="E2190" s="35" t="s">
        <v>37</v>
      </c>
      <c r="F2190" s="33" t="s">
        <v>35</v>
      </c>
      <c r="G2190" s="50"/>
    </row>
    <row r="2191" spans="1:7" ht="15.75" thickBot="1" x14ac:dyDescent="0.3">
      <c r="A2191" s="39"/>
      <c r="B2191" s="35" t="s">
        <v>33</v>
      </c>
      <c r="C2191" s="52">
        <f>IF(C2190="","",IF(AND(MONTH(C2190)&gt;=1,MONTH(C2190)&lt;=3),1,IF(AND(MONTH(C2190)&gt;=4,MONTH(C2190)&lt;=6),2,IF(AND(MONTH(C2190)&gt;=7,MONTH(C2190)&lt;=9),3,4))))</f>
        <v>4</v>
      </c>
      <c r="D2191" s="39"/>
      <c r="E2191" s="35" t="s">
        <v>38</v>
      </c>
      <c r="F2191" s="33" t="s">
        <v>35</v>
      </c>
      <c r="G2191" s="50"/>
    </row>
    <row r="2192" spans="1:7" ht="15.75" thickBot="1" x14ac:dyDescent="0.3">
      <c r="A2192" s="50"/>
      <c r="B2192" s="50"/>
      <c r="C2192" s="50"/>
      <c r="D2192" s="50"/>
      <c r="E2192" s="50"/>
      <c r="F2192" s="50"/>
      <c r="G2192" s="50"/>
    </row>
    <row r="2193" spans="1:7" ht="15.75" thickBot="1" x14ac:dyDescent="0.3">
      <c r="A2193" s="41" t="s">
        <v>39</v>
      </c>
      <c r="B2193" s="41" t="s">
        <v>40</v>
      </c>
      <c r="C2193" s="41" t="s">
        <v>41</v>
      </c>
      <c r="D2193" s="41" t="s">
        <v>42</v>
      </c>
      <c r="E2193" s="41" t="s">
        <v>43</v>
      </c>
      <c r="F2193" s="41" t="s">
        <v>44</v>
      </c>
      <c r="G2193" s="50"/>
    </row>
    <row r="2194" spans="1:7" ht="22.5" x14ac:dyDescent="0.25">
      <c r="A2194" s="42">
        <v>50161510</v>
      </c>
      <c r="B2194" s="43" t="str">
        <f t="shared" ref="B2194:B2204" ca="1" si="40">IFERROR(INDEX(UNSPSCDes,MATCH(INDIRECT(ADDRESS(ROW(),COLUMN()-1,4)),UNSPSCCode,0)),"")</f>
        <v>Endulzantes artificiales</v>
      </c>
      <c r="C2194" s="42" t="s">
        <v>143</v>
      </c>
      <c r="D2194" s="42">
        <v>30</v>
      </c>
      <c r="E2194" s="45">
        <v>170</v>
      </c>
      <c r="F2194" s="46">
        <f t="shared" ref="F2194:F2204" ca="1" si="41">INDIRECT(ADDRESS(ROW(),COLUMN()-2,4))*INDIRECT(ADDRESS(ROW(),COLUMN()-1,4))</f>
        <v>5100</v>
      </c>
      <c r="G2194" s="50"/>
    </row>
    <row r="2195" spans="1:7" ht="22.5" x14ac:dyDescent="0.25">
      <c r="A2195" s="42">
        <v>50161510</v>
      </c>
      <c r="B2195" s="43" t="str">
        <f t="shared" ca="1" si="40"/>
        <v>Endulzantes artificiales</v>
      </c>
      <c r="C2195" s="42" t="s">
        <v>47</v>
      </c>
      <c r="D2195" s="42">
        <v>175</v>
      </c>
      <c r="E2195" s="45">
        <v>150</v>
      </c>
      <c r="F2195" s="46">
        <f t="shared" ca="1" si="41"/>
        <v>26250</v>
      </c>
      <c r="G2195" s="50"/>
    </row>
    <row r="2196" spans="1:7" x14ac:dyDescent="0.25">
      <c r="A2196" s="42">
        <v>50201706</v>
      </c>
      <c r="B2196" s="43" t="str">
        <f t="shared" ca="1" si="40"/>
        <v>Café</v>
      </c>
      <c r="C2196" s="42" t="s">
        <v>47</v>
      </c>
      <c r="D2196" s="42">
        <v>45</v>
      </c>
      <c r="E2196" s="45">
        <v>1200</v>
      </c>
      <c r="F2196" s="46">
        <f t="shared" ca="1" si="41"/>
        <v>54000</v>
      </c>
      <c r="G2196" s="50"/>
    </row>
    <row r="2197" spans="1:7" x14ac:dyDescent="0.25">
      <c r="A2197" s="42">
        <v>50201711</v>
      </c>
      <c r="B2197" s="43" t="str">
        <f t="shared" ca="1" si="40"/>
        <v>Té instantáneo</v>
      </c>
      <c r="C2197" s="42" t="s">
        <v>46</v>
      </c>
      <c r="D2197" s="42">
        <v>38</v>
      </c>
      <c r="E2197" s="45">
        <v>235</v>
      </c>
      <c r="F2197" s="46">
        <f t="shared" ca="1" si="41"/>
        <v>8930</v>
      </c>
      <c r="G2197" s="50"/>
    </row>
    <row r="2198" spans="1:7" x14ac:dyDescent="0.25">
      <c r="A2198" s="42">
        <v>50201711</v>
      </c>
      <c r="B2198" s="43" t="str">
        <f t="shared" ca="1" si="40"/>
        <v>Té instantáneo</v>
      </c>
      <c r="C2198" s="42" t="s">
        <v>46</v>
      </c>
      <c r="D2198" s="42">
        <v>20</v>
      </c>
      <c r="E2198" s="45">
        <v>300</v>
      </c>
      <c r="F2198" s="46">
        <f t="shared" ca="1" si="41"/>
        <v>6000</v>
      </c>
      <c r="G2198" s="50"/>
    </row>
    <row r="2199" spans="1:7" x14ac:dyDescent="0.25">
      <c r="A2199" s="42">
        <v>50201711</v>
      </c>
      <c r="B2199" s="43" t="str">
        <f t="shared" ca="1" si="40"/>
        <v>Té instantáneo</v>
      </c>
      <c r="C2199" s="42" t="s">
        <v>46</v>
      </c>
      <c r="D2199" s="42">
        <v>2</v>
      </c>
      <c r="E2199" s="45">
        <v>300</v>
      </c>
      <c r="F2199" s="46">
        <f t="shared" ca="1" si="41"/>
        <v>600</v>
      </c>
      <c r="G2199" s="50"/>
    </row>
    <row r="2200" spans="1:7" ht="22.5" x14ac:dyDescent="0.25">
      <c r="A2200" s="42">
        <v>50161815</v>
      </c>
      <c r="B2200" s="43" t="str">
        <f t="shared" ca="1" si="40"/>
        <v>Goma de mascar</v>
      </c>
      <c r="C2200" s="42" t="s">
        <v>47</v>
      </c>
      <c r="D2200" s="42">
        <v>10</v>
      </c>
      <c r="E2200" s="45">
        <v>300</v>
      </c>
      <c r="F2200" s="46">
        <f t="shared" ca="1" si="41"/>
        <v>3000</v>
      </c>
      <c r="G2200" s="50"/>
    </row>
    <row r="2201" spans="1:7" ht="22.5" x14ac:dyDescent="0.25">
      <c r="A2201" s="42">
        <v>50161815</v>
      </c>
      <c r="B2201" s="43" t="str">
        <f t="shared" ca="1" si="40"/>
        <v>Goma de mascar</v>
      </c>
      <c r="C2201" s="42" t="s">
        <v>47</v>
      </c>
      <c r="D2201" s="42">
        <v>10</v>
      </c>
      <c r="E2201" s="45">
        <v>70</v>
      </c>
      <c r="F2201" s="46">
        <f t="shared" ca="1" si="41"/>
        <v>700</v>
      </c>
      <c r="G2201" s="50"/>
    </row>
    <row r="2202" spans="1:7" ht="22.5" x14ac:dyDescent="0.25">
      <c r="A2202" s="42">
        <v>50161815</v>
      </c>
      <c r="B2202" s="43" t="str">
        <f t="shared" ca="1" si="40"/>
        <v>Goma de mascar</v>
      </c>
      <c r="C2202" s="42" t="s">
        <v>47</v>
      </c>
      <c r="D2202" s="42">
        <v>10</v>
      </c>
      <c r="E2202" s="45">
        <v>95</v>
      </c>
      <c r="F2202" s="46">
        <f t="shared" ca="1" si="41"/>
        <v>950</v>
      </c>
      <c r="G2202" s="50"/>
    </row>
    <row r="2203" spans="1:7" ht="22.5" x14ac:dyDescent="0.25">
      <c r="A2203" s="42">
        <v>50161815</v>
      </c>
      <c r="B2203" s="43" t="str">
        <f t="shared" ca="1" si="40"/>
        <v>Goma de mascar</v>
      </c>
      <c r="C2203" s="42" t="s">
        <v>47</v>
      </c>
      <c r="D2203" s="42">
        <v>10</v>
      </c>
      <c r="E2203" s="45">
        <v>95</v>
      </c>
      <c r="F2203" s="46">
        <f t="shared" ca="1" si="41"/>
        <v>950</v>
      </c>
      <c r="G2203" s="50"/>
    </row>
    <row r="2204" spans="1:7" ht="22.5" x14ac:dyDescent="0.25">
      <c r="A2204" s="42">
        <v>50161815</v>
      </c>
      <c r="B2204" s="43" t="str">
        <f t="shared" ca="1" si="40"/>
        <v>Goma de mascar</v>
      </c>
      <c r="C2204" s="42" t="s">
        <v>47</v>
      </c>
      <c r="D2204" s="42">
        <v>10</v>
      </c>
      <c r="E2204" s="45">
        <v>95</v>
      </c>
      <c r="F2204" s="46">
        <f t="shared" ca="1" si="41"/>
        <v>950</v>
      </c>
      <c r="G2204" s="50"/>
    </row>
    <row r="2205" spans="1:7" x14ac:dyDescent="0.25">
      <c r="A2205" s="50"/>
      <c r="B2205" s="50"/>
      <c r="C2205" s="50"/>
      <c r="D2205" s="50"/>
      <c r="E2205" s="54" t="s">
        <v>49</v>
      </c>
      <c r="F2205" s="49">
        <f ca="1">SUM(Table3149[MONTO TOTAL ESTIMADO])</f>
        <v>107430</v>
      </c>
      <c r="G2205" s="50"/>
    </row>
    <row r="2206" spans="1:7" ht="15.75" thickBot="1" x14ac:dyDescent="0.3">
      <c r="A2206" s="64"/>
      <c r="B2206" s="64"/>
      <c r="C2206" s="64"/>
      <c r="D2206" s="64"/>
      <c r="E2206" s="64"/>
      <c r="F2206" s="64"/>
      <c r="G2206" s="64"/>
    </row>
    <row r="2207" spans="1:7" ht="34.5" thickBot="1" x14ac:dyDescent="0.3">
      <c r="A2207" s="31" t="s">
        <v>18</v>
      </c>
      <c r="B2207" s="31" t="s">
        <v>19</v>
      </c>
      <c r="C2207" s="31" t="s">
        <v>20</v>
      </c>
      <c r="D2207" s="31" t="s">
        <v>21</v>
      </c>
      <c r="E2207" s="31" t="s">
        <v>22</v>
      </c>
      <c r="F2207" s="31" t="s">
        <v>23</v>
      </c>
      <c r="G2207" s="50"/>
    </row>
    <row r="2208" spans="1:7" ht="15.75" thickBot="1" x14ac:dyDescent="0.3">
      <c r="A2208" s="33" t="s">
        <v>57</v>
      </c>
      <c r="B2208" s="33" t="s">
        <v>58</v>
      </c>
      <c r="C2208" s="33" t="s">
        <v>26</v>
      </c>
      <c r="D2208" s="33" t="s">
        <v>52</v>
      </c>
      <c r="E2208" s="33" t="s">
        <v>53</v>
      </c>
      <c r="F2208" s="33"/>
      <c r="G2208" s="50"/>
    </row>
    <row r="2209" spans="1:7" ht="15.75" thickBot="1" x14ac:dyDescent="0.3">
      <c r="A2209" s="34" t="s">
        <v>28</v>
      </c>
      <c r="B2209" s="35" t="s">
        <v>29</v>
      </c>
      <c r="C2209" s="51">
        <v>45268</v>
      </c>
      <c r="D2209" s="34" t="s">
        <v>30</v>
      </c>
      <c r="E2209" s="35" t="s">
        <v>31</v>
      </c>
      <c r="F2209" s="33" t="s">
        <v>32</v>
      </c>
      <c r="G2209" s="50"/>
    </row>
    <row r="2210" spans="1:7" ht="15.75" thickBot="1" x14ac:dyDescent="0.3">
      <c r="A2210" s="39"/>
      <c r="B2210" s="35" t="s">
        <v>33</v>
      </c>
      <c r="C2210" s="52">
        <f>IF(C2209="","",IF(AND(MONTH(C2209)&gt;=1,MONTH(C2209)&lt;=3),1,IF(AND(MONTH(C2209)&gt;=4,MONTH(C2209)&lt;=6),2,IF(AND(MONTH(C2209)&gt;=7,MONTH(C2209)&lt;=9),3,4))))</f>
        <v>4</v>
      </c>
      <c r="D2210" s="39"/>
      <c r="E2210" s="35" t="s">
        <v>34</v>
      </c>
      <c r="F2210" s="33" t="s">
        <v>35</v>
      </c>
      <c r="G2210" s="50"/>
    </row>
    <row r="2211" spans="1:7" ht="15.75" thickBot="1" x14ac:dyDescent="0.3">
      <c r="A2211" s="39"/>
      <c r="B2211" s="35" t="s">
        <v>36</v>
      </c>
      <c r="C2211" s="51">
        <v>45275</v>
      </c>
      <c r="D2211" s="39"/>
      <c r="E2211" s="35" t="s">
        <v>37</v>
      </c>
      <c r="F2211" s="33" t="s">
        <v>35</v>
      </c>
      <c r="G2211" s="50"/>
    </row>
    <row r="2212" spans="1:7" ht="15.75" thickBot="1" x14ac:dyDescent="0.3">
      <c r="A2212" s="39"/>
      <c r="B2212" s="35" t="s">
        <v>33</v>
      </c>
      <c r="C2212" s="52">
        <f>IF(C2211="","",IF(AND(MONTH(C2211)&gt;=1,MONTH(C2211)&lt;=3),1,IF(AND(MONTH(C2211)&gt;=4,MONTH(C2211)&lt;=6),2,IF(AND(MONTH(C2211)&gt;=7,MONTH(C2211)&lt;=9),3,4))))</f>
        <v>4</v>
      </c>
      <c r="D2212" s="39"/>
      <c r="E2212" s="35" t="s">
        <v>38</v>
      </c>
      <c r="F2212" s="33" t="s">
        <v>35</v>
      </c>
      <c r="G2212" s="50"/>
    </row>
    <row r="2213" spans="1:7" ht="15.75" thickBot="1" x14ac:dyDescent="0.3">
      <c r="A2213" s="50"/>
      <c r="B2213" s="50"/>
      <c r="C2213" s="50"/>
      <c r="D2213" s="50"/>
      <c r="E2213" s="50"/>
      <c r="F2213" s="50"/>
      <c r="G2213" s="50"/>
    </row>
    <row r="2214" spans="1:7" ht="15.75" thickBot="1" x14ac:dyDescent="0.3">
      <c r="A2214" s="41" t="s">
        <v>39</v>
      </c>
      <c r="B2214" s="41" t="s">
        <v>40</v>
      </c>
      <c r="C2214" s="41" t="s">
        <v>41</v>
      </c>
      <c r="D2214" s="41" t="s">
        <v>42</v>
      </c>
      <c r="E2214" s="41" t="s">
        <v>43</v>
      </c>
      <c r="F2214" s="41" t="s">
        <v>44</v>
      </c>
      <c r="G2214" s="50"/>
    </row>
    <row r="2215" spans="1:7" ht="22.5" x14ac:dyDescent="0.25">
      <c r="A2215" s="42">
        <v>47131810</v>
      </c>
      <c r="B2215" s="43" t="str">
        <f t="shared" ref="B2215:B2238" ca="1" si="42">IFERROR(INDEX(UNSPSCDes,MATCH(INDIRECT(ADDRESS(ROW(),COLUMN()-1,4)),UNSPSCCode,0)),"")</f>
        <v>Productos para el lavaplatos</v>
      </c>
      <c r="C2215" s="42" t="s">
        <v>46</v>
      </c>
      <c r="D2215" s="42">
        <v>60</v>
      </c>
      <c r="E2215" s="45">
        <v>20</v>
      </c>
      <c r="F2215" s="46">
        <f t="shared" ref="F2215:F2238" ca="1" si="43">INDIRECT(ADDRESS(ROW(),COLUMN()-2,4))*INDIRECT(ADDRESS(ROW(),COLUMN()-1,4))</f>
        <v>1200</v>
      </c>
      <c r="G2215" s="50"/>
    </row>
    <row r="2216" spans="1:7" ht="22.5" x14ac:dyDescent="0.25">
      <c r="A2216" s="42">
        <v>47131810</v>
      </c>
      <c r="B2216" s="43" t="str">
        <f t="shared" ca="1" si="42"/>
        <v>Productos para el lavaplatos</v>
      </c>
      <c r="C2216" s="42" t="s">
        <v>46</v>
      </c>
      <c r="D2216" s="42">
        <v>48</v>
      </c>
      <c r="E2216" s="45">
        <v>20</v>
      </c>
      <c r="F2216" s="46">
        <f t="shared" ca="1" si="43"/>
        <v>960</v>
      </c>
      <c r="G2216" s="50"/>
    </row>
    <row r="2217" spans="1:7" ht="22.5" x14ac:dyDescent="0.25">
      <c r="A2217" s="42">
        <v>47131602</v>
      </c>
      <c r="B2217" s="43" t="str">
        <f t="shared" ca="1" si="42"/>
        <v>Almohadillas para restregar</v>
      </c>
      <c r="C2217" s="42" t="s">
        <v>46</v>
      </c>
      <c r="D2217" s="42">
        <v>48</v>
      </c>
      <c r="E2217" s="45">
        <v>20</v>
      </c>
      <c r="F2217" s="46">
        <f t="shared" ca="1" si="43"/>
        <v>960</v>
      </c>
      <c r="G2217" s="50"/>
    </row>
    <row r="2218" spans="1:7" ht="22.5" x14ac:dyDescent="0.25">
      <c r="A2218" s="42">
        <v>47131605</v>
      </c>
      <c r="B2218" s="43" t="str">
        <f t="shared" ca="1" si="42"/>
        <v>Cepillos de limpieza</v>
      </c>
      <c r="C2218" s="42" t="s">
        <v>46</v>
      </c>
      <c r="D2218" s="42">
        <v>3</v>
      </c>
      <c r="E2218" s="45">
        <v>250</v>
      </c>
      <c r="F2218" s="46">
        <f t="shared" ca="1" si="43"/>
        <v>750</v>
      </c>
      <c r="G2218" s="50"/>
    </row>
    <row r="2219" spans="1:7" ht="33.75" x14ac:dyDescent="0.25">
      <c r="A2219" s="42">
        <v>47131803</v>
      </c>
      <c r="B2219" s="43" t="str">
        <f t="shared" ca="1" si="42"/>
        <v>Desinfectantes para uso doméstico</v>
      </c>
      <c r="C2219" s="42" t="s">
        <v>45</v>
      </c>
      <c r="D2219" s="42">
        <v>8</v>
      </c>
      <c r="E2219" s="45">
        <v>1100</v>
      </c>
      <c r="F2219" s="46">
        <f t="shared" ca="1" si="43"/>
        <v>8800</v>
      </c>
      <c r="G2219" s="50"/>
    </row>
    <row r="2220" spans="1:7" ht="33.75" x14ac:dyDescent="0.25">
      <c r="A2220" s="42">
        <v>47131803</v>
      </c>
      <c r="B2220" s="43" t="str">
        <f t="shared" ca="1" si="42"/>
        <v>Desinfectantes para uso doméstico</v>
      </c>
      <c r="C2220" s="42" t="s">
        <v>45</v>
      </c>
      <c r="D2220" s="42">
        <v>2</v>
      </c>
      <c r="E2220" s="45">
        <v>1062</v>
      </c>
      <c r="F2220" s="46">
        <f t="shared" ca="1" si="43"/>
        <v>2124</v>
      </c>
      <c r="G2220" s="50"/>
    </row>
    <row r="2221" spans="1:7" ht="33.75" x14ac:dyDescent="0.25">
      <c r="A2221" s="42">
        <v>47131803</v>
      </c>
      <c r="B2221" s="43" t="str">
        <f t="shared" ca="1" si="42"/>
        <v>Desinfectantes para uso doméstico</v>
      </c>
      <c r="C2221" s="42" t="s">
        <v>45</v>
      </c>
      <c r="D2221" s="42">
        <v>9</v>
      </c>
      <c r="E2221" s="45">
        <v>1100</v>
      </c>
      <c r="F2221" s="46">
        <f t="shared" ca="1" si="43"/>
        <v>9900</v>
      </c>
      <c r="G2221" s="50"/>
    </row>
    <row r="2222" spans="1:7" ht="22.5" x14ac:dyDescent="0.25">
      <c r="A2222" s="42">
        <v>47131801</v>
      </c>
      <c r="B2222" s="43" t="str">
        <f t="shared" ca="1" si="42"/>
        <v>Limpiadores de pisos</v>
      </c>
      <c r="C2222" s="42" t="s">
        <v>46</v>
      </c>
      <c r="D2222" s="42">
        <v>2</v>
      </c>
      <c r="E2222" s="45">
        <v>1500</v>
      </c>
      <c r="F2222" s="46">
        <f t="shared" ca="1" si="43"/>
        <v>3000</v>
      </c>
      <c r="G2222" s="50"/>
    </row>
    <row r="2223" spans="1:7" ht="33.75" x14ac:dyDescent="0.25">
      <c r="A2223" s="42">
        <v>47131803</v>
      </c>
      <c r="B2223" s="43" t="str">
        <f t="shared" ca="1" si="42"/>
        <v>Desinfectantes para uso doméstico</v>
      </c>
      <c r="C2223" s="42" t="s">
        <v>46</v>
      </c>
      <c r="D2223" s="42">
        <v>5</v>
      </c>
      <c r="E2223" s="45">
        <v>248</v>
      </c>
      <c r="F2223" s="46">
        <f t="shared" ca="1" si="43"/>
        <v>1240</v>
      </c>
      <c r="G2223" s="50"/>
    </row>
    <row r="2224" spans="1:7" ht="22.5" x14ac:dyDescent="0.25">
      <c r="A2224" s="42">
        <v>47121701</v>
      </c>
      <c r="B2224" s="43" t="str">
        <f t="shared" ca="1" si="42"/>
        <v>Bolsas de basura</v>
      </c>
      <c r="C2224" s="42" t="s">
        <v>47</v>
      </c>
      <c r="D2224" s="42">
        <v>20</v>
      </c>
      <c r="E2224" s="45">
        <v>496</v>
      </c>
      <c r="F2224" s="46">
        <f t="shared" ca="1" si="43"/>
        <v>9920</v>
      </c>
      <c r="G2224" s="50"/>
    </row>
    <row r="2225" spans="1:7" ht="22.5" x14ac:dyDescent="0.25">
      <c r="A2225" s="42">
        <v>47121701</v>
      </c>
      <c r="B2225" s="43" t="str">
        <f t="shared" ca="1" si="42"/>
        <v>Bolsas de basura</v>
      </c>
      <c r="C2225" s="42" t="s">
        <v>47</v>
      </c>
      <c r="D2225" s="42">
        <v>25</v>
      </c>
      <c r="E2225" s="45">
        <v>130</v>
      </c>
      <c r="F2225" s="46">
        <f t="shared" ca="1" si="43"/>
        <v>3250</v>
      </c>
      <c r="G2225" s="50"/>
    </row>
    <row r="2226" spans="1:7" ht="22.5" x14ac:dyDescent="0.25">
      <c r="A2226" s="42">
        <v>42132205</v>
      </c>
      <c r="B2226" s="43" t="str">
        <f t="shared" ca="1" si="42"/>
        <v>Guantes de cirugía</v>
      </c>
      <c r="C2226" s="42" t="s">
        <v>45</v>
      </c>
      <c r="D2226" s="42">
        <v>20</v>
      </c>
      <c r="E2226" s="45">
        <v>260</v>
      </c>
      <c r="F2226" s="46">
        <f t="shared" ca="1" si="43"/>
        <v>5200</v>
      </c>
      <c r="G2226" s="50"/>
    </row>
    <row r="2227" spans="1:7" ht="22.5" x14ac:dyDescent="0.25">
      <c r="A2227" s="42">
        <v>42132205</v>
      </c>
      <c r="B2227" s="43" t="str">
        <f t="shared" ca="1" si="42"/>
        <v>Guantes de cirugía</v>
      </c>
      <c r="C2227" s="42" t="s">
        <v>46</v>
      </c>
      <c r="D2227" s="42">
        <v>14</v>
      </c>
      <c r="E2227" s="45">
        <v>55</v>
      </c>
      <c r="F2227" s="46">
        <f t="shared" ca="1" si="43"/>
        <v>770</v>
      </c>
      <c r="G2227" s="50"/>
    </row>
    <row r="2228" spans="1:7" x14ac:dyDescent="0.25">
      <c r="A2228" s="42">
        <v>10191509</v>
      </c>
      <c r="B2228" s="43" t="str">
        <f t="shared" ca="1" si="42"/>
        <v>Insecticidas</v>
      </c>
      <c r="C2228" s="42" t="s">
        <v>46</v>
      </c>
      <c r="D2228" s="42">
        <v>9</v>
      </c>
      <c r="E2228" s="45">
        <v>350</v>
      </c>
      <c r="F2228" s="46">
        <f t="shared" ca="1" si="43"/>
        <v>3150</v>
      </c>
      <c r="G2228" s="50"/>
    </row>
    <row r="2229" spans="1:7" ht="33.75" x14ac:dyDescent="0.25">
      <c r="A2229" s="42">
        <v>47131824</v>
      </c>
      <c r="B2229" s="43" t="str">
        <f t="shared" ca="1" si="42"/>
        <v>Limpiadores de vidrio o ventanas</v>
      </c>
      <c r="C2229" s="42" t="s">
        <v>59</v>
      </c>
      <c r="D2229" s="42">
        <v>6</v>
      </c>
      <c r="E2229" s="45">
        <v>155</v>
      </c>
      <c r="F2229" s="46">
        <f t="shared" ca="1" si="43"/>
        <v>930</v>
      </c>
      <c r="G2229" s="50"/>
    </row>
    <row r="2230" spans="1:7" ht="33.75" x14ac:dyDescent="0.25">
      <c r="A2230" s="42">
        <v>47131803</v>
      </c>
      <c r="B2230" s="43" t="str">
        <f t="shared" ca="1" si="42"/>
        <v>Desinfectantes para uso doméstico</v>
      </c>
      <c r="C2230" s="42" t="s">
        <v>46</v>
      </c>
      <c r="D2230" s="42">
        <v>38</v>
      </c>
      <c r="E2230" s="45">
        <v>400</v>
      </c>
      <c r="F2230" s="46">
        <f t="shared" ca="1" si="43"/>
        <v>15200</v>
      </c>
      <c r="G2230" s="50"/>
    </row>
    <row r="2231" spans="1:7" ht="22.5" x14ac:dyDescent="0.25">
      <c r="A2231" s="42">
        <v>53131626</v>
      </c>
      <c r="B2231" s="43" t="str">
        <f t="shared" ca="1" si="42"/>
        <v>Desinfectante de manos</v>
      </c>
      <c r="C2231" s="42" t="s">
        <v>45</v>
      </c>
      <c r="D2231" s="42">
        <v>8</v>
      </c>
      <c r="E2231" s="45">
        <v>205</v>
      </c>
      <c r="F2231" s="46">
        <f t="shared" ca="1" si="43"/>
        <v>1640</v>
      </c>
      <c r="G2231" s="50"/>
    </row>
    <row r="2232" spans="1:7" ht="22.5" x14ac:dyDescent="0.25">
      <c r="A2232" s="42">
        <v>53131626</v>
      </c>
      <c r="B2232" s="43" t="str">
        <f t="shared" ca="1" si="42"/>
        <v>Desinfectante de manos</v>
      </c>
      <c r="C2232" s="42" t="s">
        <v>46</v>
      </c>
      <c r="D2232" s="42">
        <v>3</v>
      </c>
      <c r="E2232" s="45">
        <v>125</v>
      </c>
      <c r="F2232" s="46">
        <f t="shared" ca="1" si="43"/>
        <v>375</v>
      </c>
      <c r="G2232" s="50"/>
    </row>
    <row r="2233" spans="1:7" ht="56.25" x14ac:dyDescent="0.25">
      <c r="A2233" s="42">
        <v>42131606</v>
      </c>
      <c r="B2233" s="43" t="str">
        <f t="shared" ca="1" si="42"/>
        <v>Máscaras quirúrgicas o de aislamiento para personal médico</v>
      </c>
      <c r="C2233" s="42" t="s">
        <v>45</v>
      </c>
      <c r="D2233" s="42">
        <v>4</v>
      </c>
      <c r="E2233" s="45">
        <v>135</v>
      </c>
      <c r="F2233" s="46">
        <f t="shared" ca="1" si="43"/>
        <v>540</v>
      </c>
      <c r="G2233" s="50"/>
    </row>
    <row r="2234" spans="1:7" ht="22.5" x14ac:dyDescent="0.25">
      <c r="A2234" s="42">
        <v>47131611</v>
      </c>
      <c r="B2234" s="43" t="str">
        <f t="shared" ca="1" si="42"/>
        <v>Recogedor de basura</v>
      </c>
      <c r="C2234" s="42" t="s">
        <v>46</v>
      </c>
      <c r="D2234" s="42">
        <v>6</v>
      </c>
      <c r="E2234" s="45">
        <v>112</v>
      </c>
      <c r="F2234" s="46">
        <f t="shared" ca="1" si="43"/>
        <v>672</v>
      </c>
      <c r="G2234" s="50"/>
    </row>
    <row r="2235" spans="1:7" ht="22.5" x14ac:dyDescent="0.25">
      <c r="A2235" s="42">
        <v>52121704</v>
      </c>
      <c r="B2235" s="43" t="str">
        <f t="shared" ca="1" si="42"/>
        <v>Toallas de manos</v>
      </c>
      <c r="C2235" s="42" t="s">
        <v>46</v>
      </c>
      <c r="D2235" s="42">
        <v>41</v>
      </c>
      <c r="E2235" s="45">
        <v>270</v>
      </c>
      <c r="F2235" s="46">
        <f t="shared" ca="1" si="43"/>
        <v>11070</v>
      </c>
      <c r="G2235" s="50"/>
    </row>
    <row r="2236" spans="1:7" ht="56.25" x14ac:dyDescent="0.25">
      <c r="A2236" s="42">
        <v>47121702</v>
      </c>
      <c r="B2236" s="43" t="str">
        <f t="shared" ca="1" si="42"/>
        <v>Contenedores de desperdicios o revestimientos rígidos</v>
      </c>
      <c r="C2236" s="42" t="s">
        <v>46</v>
      </c>
      <c r="D2236" s="42">
        <v>10</v>
      </c>
      <c r="E2236" s="45">
        <v>450</v>
      </c>
      <c r="F2236" s="46">
        <f t="shared" ca="1" si="43"/>
        <v>4500</v>
      </c>
      <c r="G2236" s="50"/>
    </row>
    <row r="2237" spans="1:7" ht="22.5" x14ac:dyDescent="0.25">
      <c r="A2237" s="42">
        <v>53131626</v>
      </c>
      <c r="B2237" s="43" t="str">
        <f t="shared" ca="1" si="42"/>
        <v>Desinfectante de manos</v>
      </c>
      <c r="C2237" s="42" t="s">
        <v>71</v>
      </c>
      <c r="D2237" s="42">
        <v>30</v>
      </c>
      <c r="E2237" s="45">
        <v>120</v>
      </c>
      <c r="F2237" s="46">
        <f t="shared" ca="1" si="43"/>
        <v>3600</v>
      </c>
      <c r="G2237" s="50"/>
    </row>
    <row r="2238" spans="1:7" ht="22.5" x14ac:dyDescent="0.25">
      <c r="A2238" s="42">
        <v>53131626</v>
      </c>
      <c r="B2238" s="43" t="str">
        <f t="shared" ca="1" si="42"/>
        <v>Desinfectante de manos</v>
      </c>
      <c r="C2238" s="42" t="s">
        <v>72</v>
      </c>
      <c r="D2238" s="42">
        <v>11</v>
      </c>
      <c r="E2238" s="45">
        <v>700</v>
      </c>
      <c r="F2238" s="46">
        <f t="shared" ca="1" si="43"/>
        <v>7700</v>
      </c>
      <c r="G2238" s="50"/>
    </row>
    <row r="2239" spans="1:7" x14ac:dyDescent="0.25">
      <c r="A2239" s="50"/>
      <c r="B2239" s="50"/>
      <c r="C2239" s="50"/>
      <c r="D2239" s="50"/>
      <c r="E2239" s="54" t="s">
        <v>49</v>
      </c>
      <c r="F2239" s="49">
        <f ca="1">SUM(Table3150[MONTO TOTAL ESTIMADO])</f>
        <v>97451</v>
      </c>
      <c r="G2239" s="50"/>
    </row>
    <row r="2240" spans="1:7" ht="15.75" thickBot="1" x14ac:dyDescent="0.3">
      <c r="A2240" s="64"/>
      <c r="B2240" s="64"/>
      <c r="C2240" s="64"/>
      <c r="D2240" s="64"/>
      <c r="E2240" s="64"/>
      <c r="F2240" s="64"/>
      <c r="G2240" s="64"/>
    </row>
    <row r="2241" spans="1:7" ht="34.5" thickBot="1" x14ac:dyDescent="0.3">
      <c r="A2241" s="31" t="s">
        <v>18</v>
      </c>
      <c r="B2241" s="31" t="s">
        <v>19</v>
      </c>
      <c r="C2241" s="31" t="s">
        <v>20</v>
      </c>
      <c r="D2241" s="31" t="s">
        <v>21</v>
      </c>
      <c r="E2241" s="31" t="s">
        <v>22</v>
      </c>
      <c r="F2241" s="31" t="s">
        <v>23</v>
      </c>
      <c r="G2241" s="50"/>
    </row>
    <row r="2242" spans="1:7" ht="15.75" thickBot="1" x14ac:dyDescent="0.3">
      <c r="A2242" s="33" t="s">
        <v>54</v>
      </c>
      <c r="B2242" s="33" t="s">
        <v>55</v>
      </c>
      <c r="C2242" s="33" t="s">
        <v>26</v>
      </c>
      <c r="D2242" s="33" t="s">
        <v>52</v>
      </c>
      <c r="E2242" s="33" t="s">
        <v>56</v>
      </c>
      <c r="F2242" s="33"/>
      <c r="G2242" s="50"/>
    </row>
    <row r="2243" spans="1:7" ht="15.75" thickBot="1" x14ac:dyDescent="0.3">
      <c r="A2243" s="34" t="s">
        <v>28</v>
      </c>
      <c r="B2243" s="35" t="s">
        <v>29</v>
      </c>
      <c r="C2243" s="51">
        <v>45266</v>
      </c>
      <c r="D2243" s="34" t="s">
        <v>30</v>
      </c>
      <c r="E2243" s="35" t="s">
        <v>31</v>
      </c>
      <c r="F2243" s="33" t="s">
        <v>32</v>
      </c>
      <c r="G2243" s="50"/>
    </row>
    <row r="2244" spans="1:7" ht="15.75" thickBot="1" x14ac:dyDescent="0.3">
      <c r="A2244" s="39"/>
      <c r="B2244" s="35" t="s">
        <v>33</v>
      </c>
      <c r="C2244" s="52">
        <f>IF(C2243="","",IF(AND(MONTH(C2243)&gt;=1,MONTH(C2243)&lt;=3),1,IF(AND(MONTH(C2243)&gt;=4,MONTH(C2243)&lt;=6),2,IF(AND(MONTH(C2243)&gt;=7,MONTH(C2243)&lt;=9),3,4))))</f>
        <v>4</v>
      </c>
      <c r="D2244" s="39"/>
      <c r="E2244" s="35" t="s">
        <v>34</v>
      </c>
      <c r="F2244" s="33" t="s">
        <v>35</v>
      </c>
      <c r="G2244" s="50"/>
    </row>
    <row r="2245" spans="1:7" ht="15.75" thickBot="1" x14ac:dyDescent="0.3">
      <c r="A2245" s="39"/>
      <c r="B2245" s="35" t="s">
        <v>36</v>
      </c>
      <c r="C2245" s="51">
        <v>45275</v>
      </c>
      <c r="D2245" s="39"/>
      <c r="E2245" s="35" t="s">
        <v>37</v>
      </c>
      <c r="F2245" s="33" t="s">
        <v>35</v>
      </c>
      <c r="G2245" s="50"/>
    </row>
    <row r="2246" spans="1:7" ht="15.75" thickBot="1" x14ac:dyDescent="0.3">
      <c r="A2246" s="39"/>
      <c r="B2246" s="35" t="s">
        <v>33</v>
      </c>
      <c r="C2246" s="52">
        <f>IF(C2245="","",IF(AND(MONTH(C2245)&gt;=1,MONTH(C2245)&lt;=3),1,IF(AND(MONTH(C2245)&gt;=4,MONTH(C2245)&lt;=6),2,IF(AND(MONTH(C2245)&gt;=7,MONTH(C2245)&lt;=9),3,4))))</f>
        <v>4</v>
      </c>
      <c r="D2246" s="39"/>
      <c r="E2246" s="35" t="s">
        <v>38</v>
      </c>
      <c r="F2246" s="33" t="s">
        <v>35</v>
      </c>
      <c r="G2246" s="50"/>
    </row>
    <row r="2247" spans="1:7" ht="15.75" thickBot="1" x14ac:dyDescent="0.3">
      <c r="A2247" s="50"/>
      <c r="B2247" s="50"/>
      <c r="C2247" s="50"/>
      <c r="D2247" s="50"/>
      <c r="E2247" s="50"/>
      <c r="F2247" s="50"/>
      <c r="G2247" s="50"/>
    </row>
    <row r="2248" spans="1:7" ht="15.75" thickBot="1" x14ac:dyDescent="0.3">
      <c r="A2248" s="41" t="s">
        <v>39</v>
      </c>
      <c r="B2248" s="41" t="s">
        <v>40</v>
      </c>
      <c r="C2248" s="41" t="s">
        <v>41</v>
      </c>
      <c r="D2248" s="41" t="s">
        <v>42</v>
      </c>
      <c r="E2248" s="41" t="s">
        <v>43</v>
      </c>
      <c r="F2248" s="41" t="s">
        <v>44</v>
      </c>
      <c r="G2248" s="50"/>
    </row>
    <row r="2249" spans="1:7" x14ac:dyDescent="0.25">
      <c r="A2249" s="42">
        <v>50202301</v>
      </c>
      <c r="B2249" s="43" t="str">
        <f ca="1">IFERROR(INDEX(UNSPSCDes,MATCH(INDIRECT(ADDRESS(ROW(),COLUMN()-1,4)),UNSPSCCode,0)),"")</f>
        <v>Agua</v>
      </c>
      <c r="C2249" s="42" t="s">
        <v>47</v>
      </c>
      <c r="D2249" s="42">
        <v>250</v>
      </c>
      <c r="E2249" s="45">
        <v>140</v>
      </c>
      <c r="F2249" s="46">
        <f ca="1">INDIRECT(ADDRESS(ROW(),COLUMN()-2,4))*INDIRECT(ADDRESS(ROW(),COLUMN()-1,4))</f>
        <v>35000</v>
      </c>
      <c r="G2249" s="50"/>
    </row>
    <row r="2250" spans="1:7" x14ac:dyDescent="0.25">
      <c r="A2250" s="42">
        <v>50202301</v>
      </c>
      <c r="B2250" s="43" t="str">
        <f ca="1">IFERROR(INDEX(UNSPSCDes,MATCH(INDIRECT(ADDRESS(ROW(),COLUMN()-1,4)),UNSPSCCode,0)),"")</f>
        <v>Agua</v>
      </c>
      <c r="C2250" s="42" t="s">
        <v>46</v>
      </c>
      <c r="D2250" s="42">
        <v>1200</v>
      </c>
      <c r="E2250" s="45">
        <v>70</v>
      </c>
      <c r="F2250" s="46">
        <f ca="1">INDIRECT(ADDRESS(ROW(),COLUMN()-2,4))*INDIRECT(ADDRESS(ROW(),COLUMN()-1,4))</f>
        <v>84000</v>
      </c>
      <c r="G2250" s="50"/>
    </row>
    <row r="2251" spans="1:7" x14ac:dyDescent="0.25">
      <c r="A2251" s="50"/>
      <c r="B2251" s="50"/>
      <c r="C2251" s="50"/>
      <c r="D2251" s="50"/>
      <c r="E2251" s="54" t="s">
        <v>49</v>
      </c>
      <c r="F2251" s="49">
        <f ca="1">SUM(Table3151[MONTO TOTAL ESTIMADO])</f>
        <v>119000</v>
      </c>
      <c r="G2251" s="50"/>
    </row>
    <row r="2252" spans="1:7" ht="15.75" thickBot="1" x14ac:dyDescent="0.3">
      <c r="A2252" s="64"/>
      <c r="B2252" s="64"/>
      <c r="C2252" s="64"/>
      <c r="D2252" s="64"/>
      <c r="E2252" s="64"/>
      <c r="F2252" s="64"/>
      <c r="G2252" s="64"/>
    </row>
    <row r="2253" spans="1:7" ht="34.5" thickBot="1" x14ac:dyDescent="0.3">
      <c r="A2253" s="31" t="s">
        <v>18</v>
      </c>
      <c r="B2253" s="31" t="s">
        <v>19</v>
      </c>
      <c r="C2253" s="31" t="s">
        <v>20</v>
      </c>
      <c r="D2253" s="31" t="s">
        <v>21</v>
      </c>
      <c r="E2253" s="31" t="s">
        <v>22</v>
      </c>
      <c r="F2253" s="31" t="s">
        <v>23</v>
      </c>
      <c r="G2253" s="50"/>
    </row>
    <row r="2254" spans="1:7" ht="15.75" thickBot="1" x14ac:dyDescent="0.3">
      <c r="A2254" s="33" t="s">
        <v>60</v>
      </c>
      <c r="B2254" s="33" t="s">
        <v>61</v>
      </c>
      <c r="C2254" s="33" t="s">
        <v>26</v>
      </c>
      <c r="D2254" s="33" t="s">
        <v>27</v>
      </c>
      <c r="E2254" s="33" t="s">
        <v>53</v>
      </c>
      <c r="F2254" s="33"/>
      <c r="G2254" s="50"/>
    </row>
    <row r="2255" spans="1:7" ht="15.75" thickBot="1" x14ac:dyDescent="0.3">
      <c r="A2255" s="34" t="s">
        <v>28</v>
      </c>
      <c r="B2255" s="35" t="s">
        <v>29</v>
      </c>
      <c r="C2255" s="51">
        <v>45273</v>
      </c>
      <c r="D2255" s="34" t="s">
        <v>30</v>
      </c>
      <c r="E2255" s="35" t="s">
        <v>31</v>
      </c>
      <c r="F2255" s="33" t="s">
        <v>32</v>
      </c>
      <c r="G2255" s="50"/>
    </row>
    <row r="2256" spans="1:7" ht="15.75" thickBot="1" x14ac:dyDescent="0.3">
      <c r="A2256" s="39"/>
      <c r="B2256" s="35" t="s">
        <v>33</v>
      </c>
      <c r="C2256" s="52">
        <f>IF(C2255="","",IF(AND(MONTH(C2255)&gt;=1,MONTH(C2255)&lt;=3),1,IF(AND(MONTH(C2255)&gt;=4,MONTH(C2255)&lt;=6),2,IF(AND(MONTH(C2255)&gt;=7,MONTH(C2255)&lt;=9),3,4))))</f>
        <v>4</v>
      </c>
      <c r="D2256" s="39"/>
      <c r="E2256" s="35" t="s">
        <v>34</v>
      </c>
      <c r="F2256" s="33" t="s">
        <v>35</v>
      </c>
      <c r="G2256" s="50"/>
    </row>
    <row r="2257" spans="1:7" ht="15.75" thickBot="1" x14ac:dyDescent="0.3">
      <c r="A2257" s="39"/>
      <c r="B2257" s="35" t="s">
        <v>36</v>
      </c>
      <c r="C2257" s="51">
        <v>45282</v>
      </c>
      <c r="D2257" s="39"/>
      <c r="E2257" s="35" t="s">
        <v>37</v>
      </c>
      <c r="F2257" s="33" t="s">
        <v>35</v>
      </c>
      <c r="G2257" s="50"/>
    </row>
    <row r="2258" spans="1:7" ht="15.75" thickBot="1" x14ac:dyDescent="0.3">
      <c r="A2258" s="39"/>
      <c r="B2258" s="35" t="s">
        <v>33</v>
      </c>
      <c r="C2258" s="52">
        <f>IF(C2257="","",IF(AND(MONTH(C2257)&gt;=1,MONTH(C2257)&lt;=3),1,IF(AND(MONTH(C2257)&gt;=4,MONTH(C2257)&lt;=6),2,IF(AND(MONTH(C2257)&gt;=7,MONTH(C2257)&lt;=9),3,4))))</f>
        <v>4</v>
      </c>
      <c r="D2258" s="39"/>
      <c r="E2258" s="35" t="s">
        <v>38</v>
      </c>
      <c r="F2258" s="33" t="s">
        <v>35</v>
      </c>
      <c r="G2258" s="50"/>
    </row>
    <row r="2259" spans="1:7" ht="15.75" thickBot="1" x14ac:dyDescent="0.3">
      <c r="A2259" s="50"/>
      <c r="B2259" s="50"/>
      <c r="C2259" s="50"/>
      <c r="D2259" s="50"/>
      <c r="E2259" s="50"/>
      <c r="F2259" s="50"/>
      <c r="G2259" s="50"/>
    </row>
    <row r="2260" spans="1:7" ht="15.75" thickBot="1" x14ac:dyDescent="0.3">
      <c r="A2260" s="41" t="s">
        <v>39</v>
      </c>
      <c r="B2260" s="41" t="s">
        <v>40</v>
      </c>
      <c r="C2260" s="41" t="s">
        <v>41</v>
      </c>
      <c r="D2260" s="41" t="s">
        <v>42</v>
      </c>
      <c r="E2260" s="41" t="s">
        <v>43</v>
      </c>
      <c r="F2260" s="41" t="s">
        <v>44</v>
      </c>
      <c r="G2260" s="50"/>
    </row>
    <row r="2261" spans="1:7" ht="33.75" x14ac:dyDescent="0.25">
      <c r="A2261" s="42">
        <v>44103103</v>
      </c>
      <c r="B2261" s="43" t="str">
        <f t="shared" ref="B2261:B2294" ca="1" si="44">IFERROR(INDEX(UNSPSCDes,MATCH(INDIRECT(ADDRESS(ROW(),COLUMN()-1,4)),UNSPSCCode,0)),"")</f>
        <v>Tóner para impresoras o fax</v>
      </c>
      <c r="C2261" s="42" t="s">
        <v>46</v>
      </c>
      <c r="D2261" s="42">
        <v>5</v>
      </c>
      <c r="E2261" s="45">
        <v>620</v>
      </c>
      <c r="F2261" s="46">
        <f t="shared" ref="F2261:F2294" ca="1" si="45">INDIRECT(ADDRESS(ROW(),COLUMN()-2,4))*INDIRECT(ADDRESS(ROW(),COLUMN()-1,4))</f>
        <v>3100</v>
      </c>
      <c r="G2261" s="50"/>
    </row>
    <row r="2262" spans="1:7" ht="33.75" x14ac:dyDescent="0.25">
      <c r="A2262" s="42">
        <v>44103103</v>
      </c>
      <c r="B2262" s="43" t="str">
        <f t="shared" ca="1" si="44"/>
        <v>Tóner para impresoras o fax</v>
      </c>
      <c r="C2262" s="42" t="s">
        <v>46</v>
      </c>
      <c r="D2262" s="42">
        <v>5</v>
      </c>
      <c r="E2262" s="45">
        <v>620</v>
      </c>
      <c r="F2262" s="46">
        <f t="shared" ca="1" si="45"/>
        <v>3100</v>
      </c>
      <c r="G2262" s="50"/>
    </row>
    <row r="2263" spans="1:7" ht="33.75" x14ac:dyDescent="0.25">
      <c r="A2263" s="42">
        <v>44103103</v>
      </c>
      <c r="B2263" s="43" t="str">
        <f t="shared" ca="1" si="44"/>
        <v>Tóner para impresoras o fax</v>
      </c>
      <c r="C2263" s="42" t="s">
        <v>46</v>
      </c>
      <c r="D2263" s="42">
        <v>10</v>
      </c>
      <c r="E2263" s="45">
        <v>620</v>
      </c>
      <c r="F2263" s="46">
        <f t="shared" ca="1" si="45"/>
        <v>6200</v>
      </c>
      <c r="G2263" s="50"/>
    </row>
    <row r="2264" spans="1:7" ht="33.75" x14ac:dyDescent="0.25">
      <c r="A2264" s="42">
        <v>44103103</v>
      </c>
      <c r="B2264" s="43" t="str">
        <f t="shared" ca="1" si="44"/>
        <v>Tóner para impresoras o fax</v>
      </c>
      <c r="C2264" s="42" t="s">
        <v>46</v>
      </c>
      <c r="D2264" s="42">
        <v>10</v>
      </c>
      <c r="E2264" s="45">
        <v>620</v>
      </c>
      <c r="F2264" s="46">
        <f t="shared" ca="1" si="45"/>
        <v>6200</v>
      </c>
      <c r="G2264" s="50"/>
    </row>
    <row r="2265" spans="1:7" ht="33.75" x14ac:dyDescent="0.25">
      <c r="A2265" s="42">
        <v>44103103</v>
      </c>
      <c r="B2265" s="43" t="str">
        <f t="shared" ca="1" si="44"/>
        <v>Tóner para impresoras o fax</v>
      </c>
      <c r="C2265" s="42" t="s">
        <v>46</v>
      </c>
      <c r="D2265" s="42">
        <v>10</v>
      </c>
      <c r="E2265" s="45">
        <v>1100</v>
      </c>
      <c r="F2265" s="46">
        <f t="shared" ca="1" si="45"/>
        <v>11000</v>
      </c>
      <c r="G2265" s="50"/>
    </row>
    <row r="2266" spans="1:7" ht="33.75" x14ac:dyDescent="0.25">
      <c r="A2266" s="42">
        <v>44103103</v>
      </c>
      <c r="B2266" s="43" t="str">
        <f t="shared" ca="1" si="44"/>
        <v>Tóner para impresoras o fax</v>
      </c>
      <c r="C2266" s="42" t="s">
        <v>46</v>
      </c>
      <c r="D2266" s="42">
        <v>7</v>
      </c>
      <c r="E2266" s="45">
        <v>1100</v>
      </c>
      <c r="F2266" s="46">
        <f t="shared" ca="1" si="45"/>
        <v>7700</v>
      </c>
      <c r="G2266" s="50"/>
    </row>
    <row r="2267" spans="1:7" ht="33.75" x14ac:dyDescent="0.25">
      <c r="A2267" s="42">
        <v>44103103</v>
      </c>
      <c r="B2267" s="43" t="str">
        <f t="shared" ca="1" si="44"/>
        <v>Tóner para impresoras o fax</v>
      </c>
      <c r="C2267" s="42" t="s">
        <v>46</v>
      </c>
      <c r="D2267" s="42">
        <v>10</v>
      </c>
      <c r="E2267" s="45">
        <v>1100</v>
      </c>
      <c r="F2267" s="46">
        <f t="shared" ca="1" si="45"/>
        <v>11000</v>
      </c>
      <c r="G2267" s="50"/>
    </row>
    <row r="2268" spans="1:7" ht="33.75" x14ac:dyDescent="0.25">
      <c r="A2268" s="42">
        <v>44103103</v>
      </c>
      <c r="B2268" s="43" t="str">
        <f t="shared" ca="1" si="44"/>
        <v>Tóner para impresoras o fax</v>
      </c>
      <c r="C2268" s="42" t="s">
        <v>46</v>
      </c>
      <c r="D2268" s="42">
        <v>10</v>
      </c>
      <c r="E2268" s="45">
        <v>1100</v>
      </c>
      <c r="F2268" s="46">
        <f t="shared" ca="1" si="45"/>
        <v>11000</v>
      </c>
      <c r="G2268" s="50"/>
    </row>
    <row r="2269" spans="1:7" ht="33.75" x14ac:dyDescent="0.25">
      <c r="A2269" s="42">
        <v>44103103</v>
      </c>
      <c r="B2269" s="43" t="str">
        <f t="shared" ca="1" si="44"/>
        <v>Tóner para impresoras o fax</v>
      </c>
      <c r="C2269" s="42" t="s">
        <v>46</v>
      </c>
      <c r="D2269" s="42">
        <v>5</v>
      </c>
      <c r="E2269" s="45">
        <v>1100</v>
      </c>
      <c r="F2269" s="46">
        <f t="shared" ca="1" si="45"/>
        <v>5500</v>
      </c>
      <c r="G2269" s="50"/>
    </row>
    <row r="2270" spans="1:7" ht="33.75" x14ac:dyDescent="0.25">
      <c r="A2270" s="42">
        <v>44103103</v>
      </c>
      <c r="B2270" s="43" t="str">
        <f t="shared" ca="1" si="44"/>
        <v>Tóner para impresoras o fax</v>
      </c>
      <c r="C2270" s="42" t="s">
        <v>46</v>
      </c>
      <c r="D2270" s="42">
        <v>5</v>
      </c>
      <c r="E2270" s="45">
        <v>1100</v>
      </c>
      <c r="F2270" s="46">
        <f t="shared" ca="1" si="45"/>
        <v>5500</v>
      </c>
      <c r="G2270" s="50"/>
    </row>
    <row r="2271" spans="1:7" ht="33.75" x14ac:dyDescent="0.25">
      <c r="A2271" s="42">
        <v>44103103</v>
      </c>
      <c r="B2271" s="43" t="str">
        <f t="shared" ca="1" si="44"/>
        <v>Tóner para impresoras o fax</v>
      </c>
      <c r="C2271" s="42" t="s">
        <v>46</v>
      </c>
      <c r="D2271" s="42">
        <v>4</v>
      </c>
      <c r="E2271" s="45">
        <v>6300</v>
      </c>
      <c r="F2271" s="46">
        <f t="shared" ca="1" si="45"/>
        <v>25200</v>
      </c>
      <c r="G2271" s="50"/>
    </row>
    <row r="2272" spans="1:7" ht="33.75" x14ac:dyDescent="0.25">
      <c r="A2272" s="42">
        <v>44103103</v>
      </c>
      <c r="B2272" s="43" t="str">
        <f t="shared" ca="1" si="44"/>
        <v>Tóner para impresoras o fax</v>
      </c>
      <c r="C2272" s="42" t="s">
        <v>46</v>
      </c>
      <c r="D2272" s="42">
        <v>4</v>
      </c>
      <c r="E2272" s="45">
        <v>6300</v>
      </c>
      <c r="F2272" s="46">
        <f t="shared" ca="1" si="45"/>
        <v>25200</v>
      </c>
      <c r="G2272" s="50"/>
    </row>
    <row r="2273" spans="1:7" ht="33.75" x14ac:dyDescent="0.25">
      <c r="A2273" s="42">
        <v>44103103</v>
      </c>
      <c r="B2273" s="43" t="str">
        <f t="shared" ca="1" si="44"/>
        <v>Tóner para impresoras o fax</v>
      </c>
      <c r="C2273" s="42" t="s">
        <v>46</v>
      </c>
      <c r="D2273" s="42">
        <v>4</v>
      </c>
      <c r="E2273" s="45">
        <v>4470</v>
      </c>
      <c r="F2273" s="46">
        <f t="shared" ca="1" si="45"/>
        <v>17880</v>
      </c>
      <c r="G2273" s="50"/>
    </row>
    <row r="2274" spans="1:7" ht="33.75" x14ac:dyDescent="0.25">
      <c r="A2274" s="42">
        <v>44103103</v>
      </c>
      <c r="B2274" s="43" t="str">
        <f t="shared" ca="1" si="44"/>
        <v>Tóner para impresoras o fax</v>
      </c>
      <c r="C2274" s="42" t="s">
        <v>46</v>
      </c>
      <c r="D2274" s="42">
        <v>4</v>
      </c>
      <c r="E2274" s="45">
        <v>6300</v>
      </c>
      <c r="F2274" s="46">
        <f t="shared" ca="1" si="45"/>
        <v>25200</v>
      </c>
      <c r="G2274" s="50"/>
    </row>
    <row r="2275" spans="1:7" ht="33.75" x14ac:dyDescent="0.25">
      <c r="A2275" s="42">
        <v>44103103</v>
      </c>
      <c r="B2275" s="43" t="str">
        <f t="shared" ca="1" si="44"/>
        <v>Tóner para impresoras o fax</v>
      </c>
      <c r="C2275" s="42" t="s">
        <v>46</v>
      </c>
      <c r="D2275" s="42">
        <v>2</v>
      </c>
      <c r="E2275" s="45">
        <v>5884</v>
      </c>
      <c r="F2275" s="46">
        <f t="shared" ca="1" si="45"/>
        <v>11768</v>
      </c>
      <c r="G2275" s="50"/>
    </row>
    <row r="2276" spans="1:7" ht="33.75" x14ac:dyDescent="0.25">
      <c r="A2276" s="42">
        <v>44103103</v>
      </c>
      <c r="B2276" s="43" t="str">
        <f t="shared" ca="1" si="44"/>
        <v>Tóner para impresoras o fax</v>
      </c>
      <c r="C2276" s="42" t="s">
        <v>46</v>
      </c>
      <c r="D2276" s="42">
        <v>1</v>
      </c>
      <c r="E2276" s="45">
        <v>5300</v>
      </c>
      <c r="F2276" s="46">
        <f t="shared" ca="1" si="45"/>
        <v>5300</v>
      </c>
      <c r="G2276" s="50"/>
    </row>
    <row r="2277" spans="1:7" ht="33.75" x14ac:dyDescent="0.25">
      <c r="A2277" s="42">
        <v>44103103</v>
      </c>
      <c r="B2277" s="43" t="str">
        <f t="shared" ca="1" si="44"/>
        <v>Tóner para impresoras o fax</v>
      </c>
      <c r="C2277" s="42" t="s">
        <v>46</v>
      </c>
      <c r="D2277" s="42">
        <v>2</v>
      </c>
      <c r="E2277" s="45">
        <v>9000</v>
      </c>
      <c r="F2277" s="46">
        <f t="shared" ca="1" si="45"/>
        <v>18000</v>
      </c>
      <c r="G2277" s="50"/>
    </row>
    <row r="2278" spans="1:7" ht="33.75" x14ac:dyDescent="0.25">
      <c r="A2278" s="42">
        <v>44103103</v>
      </c>
      <c r="B2278" s="43" t="str">
        <f t="shared" ca="1" si="44"/>
        <v>Tóner para impresoras o fax</v>
      </c>
      <c r="C2278" s="42" t="s">
        <v>46</v>
      </c>
      <c r="D2278" s="42">
        <v>4</v>
      </c>
      <c r="E2278" s="45">
        <v>5885</v>
      </c>
      <c r="F2278" s="46">
        <f t="shared" ca="1" si="45"/>
        <v>23540</v>
      </c>
      <c r="G2278" s="50"/>
    </row>
    <row r="2279" spans="1:7" ht="33.75" x14ac:dyDescent="0.25">
      <c r="A2279" s="42">
        <v>44103103</v>
      </c>
      <c r="B2279" s="43" t="str">
        <f t="shared" ca="1" si="44"/>
        <v>Tóner para impresoras o fax</v>
      </c>
      <c r="C2279" s="42" t="s">
        <v>46</v>
      </c>
      <c r="D2279" s="42">
        <v>6</v>
      </c>
      <c r="E2279" s="45">
        <v>8200</v>
      </c>
      <c r="F2279" s="46">
        <f t="shared" ca="1" si="45"/>
        <v>49200</v>
      </c>
      <c r="G2279" s="50"/>
    </row>
    <row r="2280" spans="1:7" ht="33.75" x14ac:dyDescent="0.25">
      <c r="A2280" s="42">
        <v>44103103</v>
      </c>
      <c r="B2280" s="43" t="str">
        <f t="shared" ca="1" si="44"/>
        <v>Tóner para impresoras o fax</v>
      </c>
      <c r="C2280" s="42" t="s">
        <v>46</v>
      </c>
      <c r="D2280" s="42">
        <v>6</v>
      </c>
      <c r="E2280" s="45">
        <v>7700</v>
      </c>
      <c r="F2280" s="46">
        <f t="shared" ca="1" si="45"/>
        <v>46200</v>
      </c>
      <c r="G2280" s="50"/>
    </row>
    <row r="2281" spans="1:7" ht="33.75" x14ac:dyDescent="0.25">
      <c r="A2281" s="42">
        <v>44103103</v>
      </c>
      <c r="B2281" s="43" t="str">
        <f t="shared" ca="1" si="44"/>
        <v>Tóner para impresoras o fax</v>
      </c>
      <c r="C2281" s="42" t="s">
        <v>46</v>
      </c>
      <c r="D2281" s="42">
        <v>4</v>
      </c>
      <c r="E2281" s="45">
        <v>6500</v>
      </c>
      <c r="F2281" s="46">
        <f t="shared" ca="1" si="45"/>
        <v>26000</v>
      </c>
      <c r="G2281" s="50"/>
    </row>
    <row r="2282" spans="1:7" ht="33.75" x14ac:dyDescent="0.25">
      <c r="A2282" s="42">
        <v>44103103</v>
      </c>
      <c r="B2282" s="43" t="str">
        <f t="shared" ca="1" si="44"/>
        <v>Tóner para impresoras o fax</v>
      </c>
      <c r="C2282" s="42" t="s">
        <v>46</v>
      </c>
      <c r="D2282" s="42">
        <v>2</v>
      </c>
      <c r="E2282" s="45">
        <v>9350</v>
      </c>
      <c r="F2282" s="46">
        <f t="shared" ca="1" si="45"/>
        <v>18700</v>
      </c>
      <c r="G2282" s="50"/>
    </row>
    <row r="2283" spans="1:7" ht="33.75" x14ac:dyDescent="0.25">
      <c r="A2283" s="42">
        <v>44103103</v>
      </c>
      <c r="B2283" s="43" t="str">
        <f t="shared" ca="1" si="44"/>
        <v>Tóner para impresoras o fax</v>
      </c>
      <c r="C2283" s="42" t="s">
        <v>46</v>
      </c>
      <c r="D2283" s="42">
        <v>2</v>
      </c>
      <c r="E2283" s="45">
        <v>11950</v>
      </c>
      <c r="F2283" s="46">
        <f t="shared" ca="1" si="45"/>
        <v>23900</v>
      </c>
      <c r="G2283" s="50"/>
    </row>
    <row r="2284" spans="1:7" ht="33.75" x14ac:dyDescent="0.25">
      <c r="A2284" s="42">
        <v>44103103</v>
      </c>
      <c r="B2284" s="43" t="str">
        <f t="shared" ca="1" si="44"/>
        <v>Tóner para impresoras o fax</v>
      </c>
      <c r="C2284" s="42" t="s">
        <v>46</v>
      </c>
      <c r="D2284" s="42">
        <v>2</v>
      </c>
      <c r="E2284" s="45">
        <v>11950</v>
      </c>
      <c r="F2284" s="46">
        <f t="shared" ca="1" si="45"/>
        <v>23900</v>
      </c>
      <c r="G2284" s="50"/>
    </row>
    <row r="2285" spans="1:7" ht="33.75" x14ac:dyDescent="0.25">
      <c r="A2285" s="42">
        <v>44103103</v>
      </c>
      <c r="B2285" s="43" t="str">
        <f t="shared" ca="1" si="44"/>
        <v>Tóner para impresoras o fax</v>
      </c>
      <c r="C2285" s="42" t="s">
        <v>46</v>
      </c>
      <c r="D2285" s="42">
        <v>2</v>
      </c>
      <c r="E2285" s="45">
        <v>11950</v>
      </c>
      <c r="F2285" s="46">
        <f t="shared" ca="1" si="45"/>
        <v>23900</v>
      </c>
      <c r="G2285" s="50"/>
    </row>
    <row r="2286" spans="1:7" ht="33.75" x14ac:dyDescent="0.25">
      <c r="A2286" s="42">
        <v>44103103</v>
      </c>
      <c r="B2286" s="43" t="str">
        <f t="shared" ca="1" si="44"/>
        <v>Tóner para impresoras o fax</v>
      </c>
      <c r="C2286" s="42" t="s">
        <v>46</v>
      </c>
      <c r="D2286" s="42">
        <v>4</v>
      </c>
      <c r="E2286" s="45">
        <v>4100</v>
      </c>
      <c r="F2286" s="46">
        <f t="shared" ca="1" si="45"/>
        <v>16400</v>
      </c>
      <c r="G2286" s="50"/>
    </row>
    <row r="2287" spans="1:7" ht="33.75" x14ac:dyDescent="0.25">
      <c r="A2287" s="42">
        <v>44103103</v>
      </c>
      <c r="B2287" s="43" t="str">
        <f t="shared" ca="1" si="44"/>
        <v>Tóner para impresoras o fax</v>
      </c>
      <c r="C2287" s="42" t="s">
        <v>46</v>
      </c>
      <c r="D2287" s="42">
        <v>5</v>
      </c>
      <c r="E2287" s="45">
        <v>4500</v>
      </c>
      <c r="F2287" s="46">
        <f t="shared" ca="1" si="45"/>
        <v>22500</v>
      </c>
      <c r="G2287" s="50"/>
    </row>
    <row r="2288" spans="1:7" ht="33.75" x14ac:dyDescent="0.25">
      <c r="A2288" s="42">
        <v>44103103</v>
      </c>
      <c r="B2288" s="43" t="str">
        <f t="shared" ca="1" si="44"/>
        <v>Tóner para impresoras o fax</v>
      </c>
      <c r="C2288" s="42" t="s">
        <v>46</v>
      </c>
      <c r="D2288" s="42">
        <v>5</v>
      </c>
      <c r="E2288" s="45">
        <v>4500</v>
      </c>
      <c r="F2288" s="46">
        <f t="shared" ca="1" si="45"/>
        <v>22500</v>
      </c>
      <c r="G2288" s="50"/>
    </row>
    <row r="2289" spans="1:7" ht="33.75" x14ac:dyDescent="0.25">
      <c r="A2289" s="42">
        <v>44103103</v>
      </c>
      <c r="B2289" s="43" t="str">
        <f t="shared" ca="1" si="44"/>
        <v>Tóner para impresoras o fax</v>
      </c>
      <c r="C2289" s="42" t="s">
        <v>46</v>
      </c>
      <c r="D2289" s="42">
        <v>5</v>
      </c>
      <c r="E2289" s="45">
        <v>5100</v>
      </c>
      <c r="F2289" s="46">
        <f t="shared" ca="1" si="45"/>
        <v>25500</v>
      </c>
      <c r="G2289" s="50"/>
    </row>
    <row r="2290" spans="1:7" ht="33.75" x14ac:dyDescent="0.25">
      <c r="A2290" s="42">
        <v>44103103</v>
      </c>
      <c r="B2290" s="43" t="str">
        <f t="shared" ca="1" si="44"/>
        <v>Tóner para impresoras o fax</v>
      </c>
      <c r="C2290" s="42" t="s">
        <v>46</v>
      </c>
      <c r="D2290" s="42">
        <v>5</v>
      </c>
      <c r="E2290" s="45">
        <v>5100</v>
      </c>
      <c r="F2290" s="46">
        <f t="shared" ca="1" si="45"/>
        <v>25500</v>
      </c>
      <c r="G2290" s="50"/>
    </row>
    <row r="2291" spans="1:7" ht="33.75" x14ac:dyDescent="0.25">
      <c r="A2291" s="42">
        <v>44103103</v>
      </c>
      <c r="B2291" s="43" t="str">
        <f t="shared" ca="1" si="44"/>
        <v>Tóner para impresoras o fax</v>
      </c>
      <c r="C2291" s="42" t="s">
        <v>46</v>
      </c>
      <c r="D2291" s="42">
        <v>6</v>
      </c>
      <c r="E2291" s="45">
        <v>10872</v>
      </c>
      <c r="F2291" s="46">
        <f t="shared" ca="1" si="45"/>
        <v>65232</v>
      </c>
      <c r="G2291" s="50"/>
    </row>
    <row r="2292" spans="1:7" ht="33.75" x14ac:dyDescent="0.25">
      <c r="A2292" s="42">
        <v>44103103</v>
      </c>
      <c r="B2292" s="43" t="str">
        <f t="shared" ca="1" si="44"/>
        <v>Tóner para impresoras o fax</v>
      </c>
      <c r="C2292" s="42" t="s">
        <v>46</v>
      </c>
      <c r="D2292" s="42">
        <v>2</v>
      </c>
      <c r="E2292" s="45">
        <v>6300</v>
      </c>
      <c r="F2292" s="46">
        <f t="shared" ca="1" si="45"/>
        <v>12600</v>
      </c>
      <c r="G2292" s="50"/>
    </row>
    <row r="2293" spans="1:7" ht="33.75" x14ac:dyDescent="0.25">
      <c r="A2293" s="42">
        <v>44103103</v>
      </c>
      <c r="B2293" s="43" t="str">
        <f t="shared" ca="1" si="44"/>
        <v>Tóner para impresoras o fax</v>
      </c>
      <c r="C2293" s="42" t="s">
        <v>46</v>
      </c>
      <c r="D2293" s="42">
        <v>4</v>
      </c>
      <c r="E2293" s="45">
        <v>7000</v>
      </c>
      <c r="F2293" s="46">
        <f t="shared" ca="1" si="45"/>
        <v>28000</v>
      </c>
      <c r="G2293" s="50"/>
    </row>
    <row r="2294" spans="1:7" ht="33.75" x14ac:dyDescent="0.25">
      <c r="A2294" s="42">
        <v>44103103</v>
      </c>
      <c r="B2294" s="43" t="str">
        <f t="shared" ca="1" si="44"/>
        <v>Tóner para impresoras o fax</v>
      </c>
      <c r="C2294" s="42" t="s">
        <v>46</v>
      </c>
      <c r="D2294" s="42">
        <v>3</v>
      </c>
      <c r="E2294" s="45">
        <v>4750</v>
      </c>
      <c r="F2294" s="46">
        <f t="shared" ca="1" si="45"/>
        <v>14250</v>
      </c>
      <c r="G2294" s="50"/>
    </row>
    <row r="2295" spans="1:7" x14ac:dyDescent="0.25">
      <c r="A2295" s="50"/>
      <c r="B2295" s="50"/>
      <c r="C2295" s="50"/>
      <c r="D2295" s="50"/>
      <c r="E2295" s="54" t="s">
        <v>49</v>
      </c>
      <c r="F2295" s="49">
        <f ca="1">SUM(Table3152[MONTO TOTAL ESTIMADO])</f>
        <v>666670</v>
      </c>
      <c r="G2295" s="50"/>
    </row>
    <row r="2296" spans="1:7" ht="15.75" thickBot="1" x14ac:dyDescent="0.3">
      <c r="A2296" s="64"/>
      <c r="B2296" s="64"/>
      <c r="C2296" s="64"/>
      <c r="D2296" s="64"/>
      <c r="E2296" s="64"/>
      <c r="F2296" s="64"/>
      <c r="G2296" s="64"/>
    </row>
    <row r="2297" spans="1:7" ht="34.5" thickBot="1" x14ac:dyDescent="0.3">
      <c r="A2297" s="31" t="s">
        <v>18</v>
      </c>
      <c r="B2297" s="31" t="s">
        <v>19</v>
      </c>
      <c r="C2297" s="31" t="s">
        <v>20</v>
      </c>
      <c r="D2297" s="31" t="s">
        <v>21</v>
      </c>
      <c r="E2297" s="31" t="s">
        <v>22</v>
      </c>
      <c r="F2297" s="31" t="s">
        <v>23</v>
      </c>
      <c r="G2297" s="50"/>
    </row>
    <row r="2298" spans="1:7" ht="15.75" thickBot="1" x14ac:dyDescent="0.3">
      <c r="A2298" s="33" t="s">
        <v>69</v>
      </c>
      <c r="B2298" s="33" t="s">
        <v>70</v>
      </c>
      <c r="C2298" s="33" t="s">
        <v>26</v>
      </c>
      <c r="D2298" s="33" t="s">
        <v>52</v>
      </c>
      <c r="E2298" s="33" t="s">
        <v>53</v>
      </c>
      <c r="F2298" s="33"/>
      <c r="G2298" s="50"/>
    </row>
    <row r="2299" spans="1:7" ht="15.75" thickBot="1" x14ac:dyDescent="0.3">
      <c r="A2299" s="34" t="s">
        <v>28</v>
      </c>
      <c r="B2299" s="35" t="s">
        <v>29</v>
      </c>
      <c r="C2299" s="51">
        <v>45271</v>
      </c>
      <c r="D2299" s="34" t="s">
        <v>30</v>
      </c>
      <c r="E2299" s="35" t="s">
        <v>31</v>
      </c>
      <c r="F2299" s="33" t="s">
        <v>32</v>
      </c>
      <c r="G2299" s="50"/>
    </row>
    <row r="2300" spans="1:7" ht="15.75" thickBot="1" x14ac:dyDescent="0.3">
      <c r="A2300" s="39"/>
      <c r="B2300" s="35" t="s">
        <v>33</v>
      </c>
      <c r="C2300" s="52">
        <f>IF(C2299="","",IF(AND(MONTH(C2299)&gt;=1,MONTH(C2299)&lt;=3),1,IF(AND(MONTH(C2299)&gt;=4,MONTH(C2299)&lt;=6),2,IF(AND(MONTH(C2299)&gt;=7,MONTH(C2299)&lt;=9),3,4))))</f>
        <v>4</v>
      </c>
      <c r="D2300" s="39"/>
      <c r="E2300" s="35" t="s">
        <v>34</v>
      </c>
      <c r="F2300" s="33" t="s">
        <v>35</v>
      </c>
      <c r="G2300" s="50"/>
    </row>
    <row r="2301" spans="1:7" ht="15.75" thickBot="1" x14ac:dyDescent="0.3">
      <c r="A2301" s="39"/>
      <c r="B2301" s="35" t="s">
        <v>36</v>
      </c>
      <c r="C2301" s="51">
        <v>45281</v>
      </c>
      <c r="D2301" s="39"/>
      <c r="E2301" s="35" t="s">
        <v>37</v>
      </c>
      <c r="F2301" s="33" t="s">
        <v>35</v>
      </c>
      <c r="G2301" s="50"/>
    </row>
    <row r="2302" spans="1:7" ht="15.75" thickBot="1" x14ac:dyDescent="0.3">
      <c r="A2302" s="39"/>
      <c r="B2302" s="35" t="s">
        <v>33</v>
      </c>
      <c r="C2302" s="52">
        <f>IF(C2301="","",IF(AND(MONTH(C2301)&gt;=1,MONTH(C2301)&lt;=3),1,IF(AND(MONTH(C2301)&gt;=4,MONTH(C2301)&lt;=6),2,IF(AND(MONTH(C2301)&gt;=7,MONTH(C2301)&lt;=9),3,4))))</f>
        <v>4</v>
      </c>
      <c r="D2302" s="39"/>
      <c r="E2302" s="35" t="s">
        <v>38</v>
      </c>
      <c r="F2302" s="33" t="s">
        <v>35</v>
      </c>
      <c r="G2302" s="50"/>
    </row>
    <row r="2303" spans="1:7" ht="15.75" thickBot="1" x14ac:dyDescent="0.3">
      <c r="A2303" s="50"/>
      <c r="B2303" s="50"/>
      <c r="C2303" s="50"/>
      <c r="D2303" s="50"/>
      <c r="E2303" s="50"/>
      <c r="F2303" s="50"/>
      <c r="G2303" s="50"/>
    </row>
    <row r="2304" spans="1:7" ht="15.75" thickBot="1" x14ac:dyDescent="0.3">
      <c r="A2304" s="41" t="s">
        <v>39</v>
      </c>
      <c r="B2304" s="41" t="s">
        <v>40</v>
      </c>
      <c r="C2304" s="41" t="s">
        <v>41</v>
      </c>
      <c r="D2304" s="41" t="s">
        <v>42</v>
      </c>
      <c r="E2304" s="41" t="s">
        <v>43</v>
      </c>
      <c r="F2304" s="41" t="s">
        <v>44</v>
      </c>
      <c r="G2304" s="50"/>
    </row>
    <row r="2305" spans="1:7" ht="33.75" x14ac:dyDescent="0.25">
      <c r="A2305" s="42">
        <v>26121704</v>
      </c>
      <c r="B2305" s="43" t="str">
        <f ca="1">IFERROR(INDEX(UNSPSCDes,MATCH(INDIRECT(ADDRESS(ROW(),COLUMN()-1,4)),UNSPSCCode,0)),"")</f>
        <v>Arnés de alambrado especial</v>
      </c>
      <c r="C2305" s="42" t="s">
        <v>46</v>
      </c>
      <c r="D2305" s="42">
        <v>8</v>
      </c>
      <c r="E2305" s="45">
        <v>90</v>
      </c>
      <c r="F2305" s="46">
        <f ca="1">INDIRECT(ADDRESS(ROW(),COLUMN()-2,4))*INDIRECT(ADDRESS(ROW(),COLUMN()-1,4))</f>
        <v>720</v>
      </c>
      <c r="G2305" s="50"/>
    </row>
    <row r="2306" spans="1:7" ht="33.75" x14ac:dyDescent="0.25">
      <c r="A2306" s="42">
        <v>26121704</v>
      </c>
      <c r="B2306" s="43" t="str">
        <f ca="1">IFERROR(INDEX(UNSPSCDes,MATCH(INDIRECT(ADDRESS(ROW(),COLUMN()-1,4)),UNSPSCCode,0)),"")</f>
        <v>Arnés de alambrado especial</v>
      </c>
      <c r="C2306" s="42" t="s">
        <v>46</v>
      </c>
      <c r="D2306" s="42">
        <v>8</v>
      </c>
      <c r="E2306" s="45">
        <v>340</v>
      </c>
      <c r="F2306" s="46">
        <f ca="1">INDIRECT(ADDRESS(ROW(),COLUMN()-2,4))*INDIRECT(ADDRESS(ROW(),COLUMN()-1,4))</f>
        <v>2720</v>
      </c>
      <c r="G2306" s="50"/>
    </row>
    <row r="2307" spans="1:7" ht="22.5" x14ac:dyDescent="0.25">
      <c r="A2307" s="42">
        <v>26111717</v>
      </c>
      <c r="B2307" s="43" t="str">
        <f ca="1">IFERROR(INDEX(UNSPSCDes,MATCH(INDIRECT(ADDRESS(ROW(),COLUMN()-1,4)),UNSPSCCode,0)),"")</f>
        <v>Baterías del manganeso</v>
      </c>
      <c r="C2307" s="42" t="s">
        <v>47</v>
      </c>
      <c r="D2307" s="42">
        <v>20</v>
      </c>
      <c r="E2307" s="45">
        <v>190</v>
      </c>
      <c r="F2307" s="46">
        <f ca="1">INDIRECT(ADDRESS(ROW(),COLUMN()-2,4))*INDIRECT(ADDRESS(ROW(),COLUMN()-1,4))</f>
        <v>3800</v>
      </c>
      <c r="G2307" s="50"/>
    </row>
    <row r="2308" spans="1:7" ht="22.5" x14ac:dyDescent="0.25">
      <c r="A2308" s="42">
        <v>26111717</v>
      </c>
      <c r="B2308" s="43" t="str">
        <f ca="1">IFERROR(INDEX(UNSPSCDes,MATCH(INDIRECT(ADDRESS(ROW(),COLUMN()-1,4)),UNSPSCCode,0)),"")</f>
        <v>Baterías del manganeso</v>
      </c>
      <c r="C2308" s="42" t="s">
        <v>46</v>
      </c>
      <c r="D2308" s="42">
        <v>24</v>
      </c>
      <c r="E2308" s="45">
        <v>190</v>
      </c>
      <c r="F2308" s="46">
        <f ca="1">INDIRECT(ADDRESS(ROW(),COLUMN()-2,4))*INDIRECT(ADDRESS(ROW(),COLUMN()-1,4))</f>
        <v>4560</v>
      </c>
      <c r="G2308" s="50"/>
    </row>
    <row r="2309" spans="1:7" x14ac:dyDescent="0.25">
      <c r="A2309" s="42">
        <v>31162402</v>
      </c>
      <c r="B2309" s="43" t="str">
        <f ca="1">IFERROR(INDEX(UNSPSCDes,MATCH(INDIRECT(ADDRESS(ROW(),COLUMN()-1,4)),UNSPSCCode,0)),"")</f>
        <v>Cerraduras</v>
      </c>
      <c r="C2309" s="42" t="s">
        <v>46</v>
      </c>
      <c r="D2309" s="42">
        <v>4</v>
      </c>
      <c r="E2309" s="45">
        <v>3455</v>
      </c>
      <c r="F2309" s="46">
        <f ca="1">INDIRECT(ADDRESS(ROW(),COLUMN()-2,4))*INDIRECT(ADDRESS(ROW(),COLUMN()-1,4))</f>
        <v>13820</v>
      </c>
      <c r="G2309" s="50"/>
    </row>
    <row r="2310" spans="1:7" x14ac:dyDescent="0.25">
      <c r="A2310" s="50"/>
      <c r="B2310" s="50"/>
      <c r="C2310" s="50"/>
      <c r="D2310" s="50"/>
      <c r="E2310" s="54" t="s">
        <v>49</v>
      </c>
      <c r="F2310" s="49">
        <f ca="1">SUM(Table3153[MONTO TOTAL ESTIMADO])</f>
        <v>25620</v>
      </c>
      <c r="G2310" s="50"/>
    </row>
    <row r="2311" spans="1:7" ht="15.75" thickBot="1" x14ac:dyDescent="0.3">
      <c r="A2311" s="64"/>
      <c r="B2311" s="64"/>
      <c r="C2311" s="64"/>
      <c r="D2311" s="64"/>
      <c r="E2311" s="64"/>
      <c r="F2311" s="64"/>
      <c r="G2311" s="64"/>
    </row>
    <row r="2312" spans="1:7" ht="34.5" thickBot="1" x14ac:dyDescent="0.3">
      <c r="A2312" s="31" t="s">
        <v>18</v>
      </c>
      <c r="B2312" s="31" t="s">
        <v>19</v>
      </c>
      <c r="C2312" s="31" t="s">
        <v>20</v>
      </c>
      <c r="D2312" s="31" t="s">
        <v>21</v>
      </c>
      <c r="E2312" s="31" t="s">
        <v>22</v>
      </c>
      <c r="F2312" s="31" t="s">
        <v>23</v>
      </c>
      <c r="G2312" s="50"/>
    </row>
    <row r="2313" spans="1:7" ht="15.75" thickBot="1" x14ac:dyDescent="0.3">
      <c r="A2313" s="33" t="s">
        <v>66</v>
      </c>
      <c r="B2313" s="33" t="s">
        <v>67</v>
      </c>
      <c r="C2313" s="33" t="s">
        <v>26</v>
      </c>
      <c r="D2313" s="33" t="s">
        <v>27</v>
      </c>
      <c r="E2313" s="33" t="s">
        <v>53</v>
      </c>
      <c r="F2313" s="33"/>
      <c r="G2313" s="50"/>
    </row>
    <row r="2314" spans="1:7" ht="15.75" thickBot="1" x14ac:dyDescent="0.3">
      <c r="A2314" s="34" t="s">
        <v>28</v>
      </c>
      <c r="B2314" s="35" t="s">
        <v>29</v>
      </c>
      <c r="C2314" s="51">
        <v>45279</v>
      </c>
      <c r="D2314" s="34" t="s">
        <v>30</v>
      </c>
      <c r="E2314" s="35" t="s">
        <v>31</v>
      </c>
      <c r="F2314" s="33" t="s">
        <v>32</v>
      </c>
      <c r="G2314" s="50"/>
    </row>
    <row r="2315" spans="1:7" ht="15.75" thickBot="1" x14ac:dyDescent="0.3">
      <c r="A2315" s="39"/>
      <c r="B2315" s="35" t="s">
        <v>33</v>
      </c>
      <c r="C2315" s="52">
        <f>IF(C2314="","",IF(AND(MONTH(C2314)&gt;=1,MONTH(C2314)&lt;=3),1,IF(AND(MONTH(C2314)&gt;=4,MONTH(C2314)&lt;=6),2,IF(AND(MONTH(C2314)&gt;=7,MONTH(C2314)&lt;=9),3,4))))</f>
        <v>4</v>
      </c>
      <c r="D2315" s="39"/>
      <c r="E2315" s="35" t="s">
        <v>34</v>
      </c>
      <c r="F2315" s="33" t="s">
        <v>35</v>
      </c>
      <c r="G2315" s="50"/>
    </row>
    <row r="2316" spans="1:7" ht="15.75" thickBot="1" x14ac:dyDescent="0.3">
      <c r="A2316" s="39"/>
      <c r="B2316" s="35" t="s">
        <v>36</v>
      </c>
      <c r="C2316" s="51">
        <v>45288</v>
      </c>
      <c r="D2316" s="39"/>
      <c r="E2316" s="35" t="s">
        <v>37</v>
      </c>
      <c r="F2316" s="33" t="s">
        <v>35</v>
      </c>
      <c r="G2316" s="50"/>
    </row>
    <row r="2317" spans="1:7" ht="15.75" thickBot="1" x14ac:dyDescent="0.3">
      <c r="A2317" s="39"/>
      <c r="B2317" s="35" t="s">
        <v>33</v>
      </c>
      <c r="C2317" s="52">
        <f>IF(C2316="","",IF(AND(MONTH(C2316)&gt;=1,MONTH(C2316)&lt;=3),1,IF(AND(MONTH(C2316)&gt;=4,MONTH(C2316)&lt;=6),2,IF(AND(MONTH(C2316)&gt;=7,MONTH(C2316)&lt;=9),3,4))))</f>
        <v>4</v>
      </c>
      <c r="D2317" s="39"/>
      <c r="E2317" s="35" t="s">
        <v>38</v>
      </c>
      <c r="F2317" s="33" t="s">
        <v>35</v>
      </c>
      <c r="G2317" s="50"/>
    </row>
    <row r="2318" spans="1:7" ht="15.75" thickBot="1" x14ac:dyDescent="0.3">
      <c r="A2318" s="50"/>
      <c r="B2318" s="50"/>
      <c r="C2318" s="50"/>
      <c r="D2318" s="50"/>
      <c r="E2318" s="50"/>
      <c r="F2318" s="50"/>
      <c r="G2318" s="50"/>
    </row>
    <row r="2319" spans="1:7" ht="15.75" thickBot="1" x14ac:dyDescent="0.3">
      <c r="A2319" s="41" t="s">
        <v>39</v>
      </c>
      <c r="B2319" s="41" t="s">
        <v>40</v>
      </c>
      <c r="C2319" s="41" t="s">
        <v>41</v>
      </c>
      <c r="D2319" s="41" t="s">
        <v>42</v>
      </c>
      <c r="E2319" s="41" t="s">
        <v>43</v>
      </c>
      <c r="F2319" s="41" t="s">
        <v>44</v>
      </c>
      <c r="G2319" s="50"/>
    </row>
    <row r="2320" spans="1:7" x14ac:dyDescent="0.25">
      <c r="A2320" s="42">
        <v>14111704</v>
      </c>
      <c r="B2320" s="43" t="str">
        <f ca="1">IFERROR(INDEX(UNSPSCDes,MATCH(INDIRECT(ADDRESS(ROW(),COLUMN()-1,4)),UNSPSCCode,0)),"")</f>
        <v>Papel higiénico</v>
      </c>
      <c r="C2320" s="42" t="s">
        <v>47</v>
      </c>
      <c r="D2320" s="42">
        <v>135</v>
      </c>
      <c r="E2320" s="45">
        <v>1440</v>
      </c>
      <c r="F2320" s="46">
        <f ca="1">INDIRECT(ADDRESS(ROW(),COLUMN()-2,4))*INDIRECT(ADDRESS(ROW(),COLUMN()-1,4))</f>
        <v>194400</v>
      </c>
      <c r="G2320" s="50"/>
    </row>
    <row r="2321" spans="1:7" x14ac:dyDescent="0.25">
      <c r="A2321" s="42">
        <v>14111704</v>
      </c>
      <c r="B2321" s="43" t="str">
        <f ca="1">IFERROR(INDEX(UNSPSCDes,MATCH(INDIRECT(ADDRESS(ROW(),COLUMN()-1,4)),UNSPSCCode,0)),"")</f>
        <v>Papel higiénico</v>
      </c>
      <c r="C2321" s="42" t="s">
        <v>47</v>
      </c>
      <c r="D2321" s="42">
        <v>95</v>
      </c>
      <c r="E2321" s="45">
        <v>3250</v>
      </c>
      <c r="F2321" s="46">
        <f ca="1">INDIRECT(ADDRESS(ROW(),COLUMN()-2,4))*INDIRECT(ADDRESS(ROW(),COLUMN()-1,4))</f>
        <v>308750</v>
      </c>
      <c r="G2321" s="50"/>
    </row>
    <row r="2322" spans="1:7" x14ac:dyDescent="0.25">
      <c r="A2322" s="42">
        <v>52121602</v>
      </c>
      <c r="B2322" s="43" t="str">
        <f ca="1">IFERROR(INDEX(UNSPSCDes,MATCH(INDIRECT(ADDRESS(ROW(),COLUMN()-1,4)),UNSPSCCode,0)),"")</f>
        <v>Servilletas</v>
      </c>
      <c r="C2322" s="42" t="s">
        <v>68</v>
      </c>
      <c r="D2322" s="42">
        <v>10</v>
      </c>
      <c r="E2322" s="45">
        <v>950</v>
      </c>
      <c r="F2322" s="46">
        <f ca="1">INDIRECT(ADDRESS(ROW(),COLUMN()-2,4))*INDIRECT(ADDRESS(ROW(),COLUMN()-1,4))</f>
        <v>9500</v>
      </c>
      <c r="G2322" s="50"/>
    </row>
    <row r="2323" spans="1:7" x14ac:dyDescent="0.25">
      <c r="A2323" s="42">
        <v>52121602</v>
      </c>
      <c r="B2323" s="43" t="str">
        <f ca="1">IFERROR(INDEX(UNSPSCDes,MATCH(INDIRECT(ADDRESS(ROW(),COLUMN()-1,4)),UNSPSCCode,0)),"")</f>
        <v>Servilletas</v>
      </c>
      <c r="C2323" s="42" t="s">
        <v>47</v>
      </c>
      <c r="D2323" s="42">
        <v>24</v>
      </c>
      <c r="E2323" s="45">
        <v>115</v>
      </c>
      <c r="F2323" s="46">
        <f ca="1">INDIRECT(ADDRESS(ROW(),COLUMN()-2,4))*INDIRECT(ADDRESS(ROW(),COLUMN()-1,4))</f>
        <v>2760</v>
      </c>
      <c r="G2323" s="50"/>
    </row>
    <row r="2324" spans="1:7" x14ac:dyDescent="0.25">
      <c r="A2324" s="50"/>
      <c r="B2324" s="50"/>
      <c r="C2324" s="50"/>
      <c r="D2324" s="50"/>
      <c r="E2324" s="54" t="s">
        <v>49</v>
      </c>
      <c r="F2324" s="49">
        <f ca="1">SUM(Table3154[MONTO TOTAL ESTIMADO])</f>
        <v>515410</v>
      </c>
      <c r="G2324" s="50"/>
    </row>
    <row r="2325" spans="1:7" ht="15.75" thickBot="1" x14ac:dyDescent="0.3">
      <c r="A2325" s="64"/>
      <c r="B2325" s="64"/>
      <c r="C2325" s="64"/>
      <c r="D2325" s="64"/>
      <c r="E2325" s="64"/>
      <c r="F2325" s="64"/>
      <c r="G2325" s="64"/>
    </row>
    <row r="2326" spans="1:7" ht="34.5" thickBot="1" x14ac:dyDescent="0.3">
      <c r="A2326" s="31" t="s">
        <v>18</v>
      </c>
      <c r="B2326" s="31" t="s">
        <v>19</v>
      </c>
      <c r="C2326" s="31" t="s">
        <v>20</v>
      </c>
      <c r="D2326" s="31" t="s">
        <v>21</v>
      </c>
      <c r="E2326" s="31" t="s">
        <v>22</v>
      </c>
      <c r="F2326" s="31" t="s">
        <v>23</v>
      </c>
      <c r="G2326" s="50"/>
    </row>
    <row r="2327" spans="1:7" ht="15.75" thickBot="1" x14ac:dyDescent="0.3">
      <c r="A2327" s="33" t="s">
        <v>85</v>
      </c>
      <c r="B2327" s="33" t="s">
        <v>85</v>
      </c>
      <c r="C2327" s="33" t="s">
        <v>26</v>
      </c>
      <c r="D2327" s="33" t="s">
        <v>52</v>
      </c>
      <c r="E2327" s="33" t="s">
        <v>53</v>
      </c>
      <c r="F2327" s="33"/>
      <c r="G2327" s="50"/>
    </row>
    <row r="2328" spans="1:7" ht="15.75" thickBot="1" x14ac:dyDescent="0.3">
      <c r="A2328" s="34" t="s">
        <v>28</v>
      </c>
      <c r="B2328" s="35" t="s">
        <v>29</v>
      </c>
      <c r="C2328" s="51">
        <v>45276</v>
      </c>
      <c r="D2328" s="34" t="s">
        <v>30</v>
      </c>
      <c r="E2328" s="35" t="s">
        <v>31</v>
      </c>
      <c r="F2328" s="33" t="s">
        <v>32</v>
      </c>
      <c r="G2328" s="50"/>
    </row>
    <row r="2329" spans="1:7" ht="15.75" thickBot="1" x14ac:dyDescent="0.3">
      <c r="A2329" s="39"/>
      <c r="B2329" s="35" t="s">
        <v>33</v>
      </c>
      <c r="C2329" s="52">
        <f>IF(C2328="","",IF(AND(MONTH(C2328)&gt;=1,MONTH(C2328)&lt;=3),1,IF(AND(MONTH(C2328)&gt;=4,MONTH(C2328)&lt;=6),2,IF(AND(MONTH(C2328)&gt;=7,MONTH(C2328)&lt;=9),3,4))))</f>
        <v>4</v>
      </c>
      <c r="D2329" s="39"/>
      <c r="E2329" s="35" t="s">
        <v>34</v>
      </c>
      <c r="F2329" s="33" t="s">
        <v>35</v>
      </c>
      <c r="G2329" s="50"/>
    </row>
    <row r="2330" spans="1:7" ht="15.75" thickBot="1" x14ac:dyDescent="0.3">
      <c r="A2330" s="39"/>
      <c r="B2330" s="35" t="s">
        <v>36</v>
      </c>
      <c r="C2330" s="51">
        <v>45286</v>
      </c>
      <c r="D2330" s="39"/>
      <c r="E2330" s="35" t="s">
        <v>37</v>
      </c>
      <c r="F2330" s="33" t="s">
        <v>35</v>
      </c>
      <c r="G2330" s="50"/>
    </row>
    <row r="2331" spans="1:7" ht="15.75" thickBot="1" x14ac:dyDescent="0.3">
      <c r="A2331" s="39"/>
      <c r="B2331" s="35" t="s">
        <v>33</v>
      </c>
      <c r="C2331" s="52">
        <f>IF(C2330="","",IF(AND(MONTH(C2330)&gt;=1,MONTH(C2330)&lt;=3),1,IF(AND(MONTH(C2330)&gt;=4,MONTH(C2330)&lt;=6),2,IF(AND(MONTH(C2330)&gt;=7,MONTH(C2330)&lt;=9),3,4))))</f>
        <v>4</v>
      </c>
      <c r="D2331" s="39"/>
      <c r="E2331" s="35" t="s">
        <v>38</v>
      </c>
      <c r="F2331" s="33" t="s">
        <v>35</v>
      </c>
      <c r="G2331" s="50"/>
    </row>
    <row r="2332" spans="1:7" ht="15.75" thickBot="1" x14ac:dyDescent="0.3">
      <c r="A2332" s="50"/>
      <c r="B2332" s="50"/>
      <c r="C2332" s="50"/>
      <c r="D2332" s="50"/>
      <c r="E2332" s="50"/>
      <c r="F2332" s="50"/>
      <c r="G2332" s="50"/>
    </row>
    <row r="2333" spans="1:7" ht="15.75" thickBot="1" x14ac:dyDescent="0.3">
      <c r="A2333" s="41" t="s">
        <v>39</v>
      </c>
      <c r="B2333" s="41" t="s">
        <v>40</v>
      </c>
      <c r="C2333" s="41" t="s">
        <v>41</v>
      </c>
      <c r="D2333" s="41" t="s">
        <v>42</v>
      </c>
      <c r="E2333" s="41" t="s">
        <v>43</v>
      </c>
      <c r="F2333" s="41" t="s">
        <v>44</v>
      </c>
      <c r="G2333" s="50"/>
    </row>
    <row r="2334" spans="1:7" ht="56.25" x14ac:dyDescent="0.25">
      <c r="A2334" s="42">
        <v>52151504</v>
      </c>
      <c r="B2334" s="43" t="str">
        <f ca="1">IFERROR(INDEX(UNSPSCDes,MATCH(INDIRECT(ADDRESS(ROW(),COLUMN()-1,4)),UNSPSCCode,0)),"")</f>
        <v>Tazas o vasos o tapas desechables para uso doméstico</v>
      </c>
      <c r="C2334" s="42" t="s">
        <v>45</v>
      </c>
      <c r="D2334" s="42">
        <v>6</v>
      </c>
      <c r="E2334" s="45">
        <v>4200</v>
      </c>
      <c r="F2334" s="46">
        <f ca="1">INDIRECT(ADDRESS(ROW(),COLUMN()-2,4))*INDIRECT(ADDRESS(ROW(),COLUMN()-1,4))</f>
        <v>25200</v>
      </c>
      <c r="G2334" s="50"/>
    </row>
    <row r="2335" spans="1:7" ht="56.25" x14ac:dyDescent="0.25">
      <c r="A2335" s="42">
        <v>52151504</v>
      </c>
      <c r="B2335" s="43" t="str">
        <f ca="1">IFERROR(INDEX(UNSPSCDes,MATCH(INDIRECT(ADDRESS(ROW(),COLUMN()-1,4)),UNSPSCCode,0)),"")</f>
        <v>Tazas o vasos o tapas desechables para uso doméstico</v>
      </c>
      <c r="C2335" s="42" t="s">
        <v>45</v>
      </c>
      <c r="D2335" s="42">
        <v>10</v>
      </c>
      <c r="E2335" s="45">
        <v>3700</v>
      </c>
      <c r="F2335" s="46">
        <f ca="1">INDIRECT(ADDRESS(ROW(),COLUMN()-2,4))*INDIRECT(ADDRESS(ROW(),COLUMN()-1,4))</f>
        <v>37000</v>
      </c>
      <c r="G2335" s="50"/>
    </row>
    <row r="2336" spans="1:7" x14ac:dyDescent="0.25">
      <c r="A2336" s="50"/>
      <c r="B2336" s="50"/>
      <c r="C2336" s="50"/>
      <c r="D2336" s="50"/>
      <c r="E2336" s="54" t="s">
        <v>49</v>
      </c>
      <c r="F2336" s="49">
        <f ca="1">SUM(Table3155[MONTO TOTAL ESTIMADO])</f>
        <v>62200</v>
      </c>
      <c r="G2336" s="50"/>
    </row>
    <row r="2337" spans="1:7" ht="15.75" thickBot="1" x14ac:dyDescent="0.3">
      <c r="A2337" s="64"/>
      <c r="B2337" s="64"/>
      <c r="C2337" s="64"/>
      <c r="D2337" s="64"/>
      <c r="E2337" s="64"/>
      <c r="F2337" s="64"/>
      <c r="G2337" s="64"/>
    </row>
    <row r="2338" spans="1:7" ht="34.5" thickBot="1" x14ac:dyDescent="0.3">
      <c r="A2338" s="31" t="s">
        <v>18</v>
      </c>
      <c r="B2338" s="31" t="s">
        <v>19</v>
      </c>
      <c r="C2338" s="31" t="s">
        <v>20</v>
      </c>
      <c r="D2338" s="31" t="s">
        <v>21</v>
      </c>
      <c r="E2338" s="31" t="s">
        <v>22</v>
      </c>
      <c r="F2338" s="31" t="s">
        <v>23</v>
      </c>
      <c r="G2338" s="50"/>
    </row>
    <row r="2339" spans="1:7" ht="15.75" thickBot="1" x14ac:dyDescent="0.3">
      <c r="A2339" s="33" t="s">
        <v>135</v>
      </c>
      <c r="B2339" s="33" t="s">
        <v>133</v>
      </c>
      <c r="C2339" s="33" t="s">
        <v>74</v>
      </c>
      <c r="D2339" s="33" t="s">
        <v>52</v>
      </c>
      <c r="E2339" s="33" t="s">
        <v>53</v>
      </c>
      <c r="F2339" s="33"/>
      <c r="G2339" s="50"/>
    </row>
    <row r="2340" spans="1:7" ht="15.75" thickBot="1" x14ac:dyDescent="0.3">
      <c r="A2340" s="34" t="s">
        <v>28</v>
      </c>
      <c r="B2340" s="35" t="s">
        <v>29</v>
      </c>
      <c r="C2340" s="51">
        <v>45261</v>
      </c>
      <c r="D2340" s="34" t="s">
        <v>30</v>
      </c>
      <c r="E2340" s="35" t="s">
        <v>31</v>
      </c>
      <c r="F2340" s="33" t="s">
        <v>32</v>
      </c>
      <c r="G2340" s="50"/>
    </row>
    <row r="2341" spans="1:7" ht="15.75" thickBot="1" x14ac:dyDescent="0.3">
      <c r="A2341" s="39"/>
      <c r="B2341" s="35" t="s">
        <v>33</v>
      </c>
      <c r="C2341" s="52">
        <f>IF(C2340="","",IF(AND(MONTH(C2340)&gt;=1,MONTH(C2340)&lt;=3),1,IF(AND(MONTH(C2340)&gt;=4,MONTH(C2340)&lt;=6),2,IF(AND(MONTH(C2340)&gt;=7,MONTH(C2340)&lt;=9),3,4))))</f>
        <v>4</v>
      </c>
      <c r="D2341" s="39"/>
      <c r="E2341" s="35" t="s">
        <v>34</v>
      </c>
      <c r="F2341" s="33" t="s">
        <v>35</v>
      </c>
      <c r="G2341" s="50"/>
    </row>
    <row r="2342" spans="1:7" ht="15.75" thickBot="1" x14ac:dyDescent="0.3">
      <c r="A2342" s="39"/>
      <c r="B2342" s="35" t="s">
        <v>36</v>
      </c>
      <c r="C2342" s="51">
        <v>45268</v>
      </c>
      <c r="D2342" s="39"/>
      <c r="E2342" s="35" t="s">
        <v>37</v>
      </c>
      <c r="F2342" s="33" t="s">
        <v>35</v>
      </c>
      <c r="G2342" s="50"/>
    </row>
    <row r="2343" spans="1:7" ht="15.75" thickBot="1" x14ac:dyDescent="0.3">
      <c r="A2343" s="39"/>
      <c r="B2343" s="35" t="s">
        <v>33</v>
      </c>
      <c r="C2343" s="52">
        <f>IF(C2342="","",IF(AND(MONTH(C2342)&gt;=1,MONTH(C2342)&lt;=3),1,IF(AND(MONTH(C2342)&gt;=4,MONTH(C2342)&lt;=6),2,IF(AND(MONTH(C2342)&gt;=7,MONTH(C2342)&lt;=9),3,4))))</f>
        <v>4</v>
      </c>
      <c r="D2343" s="39"/>
      <c r="E2343" s="35" t="s">
        <v>38</v>
      </c>
      <c r="F2343" s="33" t="s">
        <v>35</v>
      </c>
      <c r="G2343" s="50"/>
    </row>
    <row r="2344" spans="1:7" ht="15.75" thickBot="1" x14ac:dyDescent="0.3">
      <c r="A2344" s="50"/>
      <c r="B2344" s="50"/>
      <c r="C2344" s="50"/>
      <c r="D2344" s="50"/>
      <c r="E2344" s="50"/>
      <c r="F2344" s="50"/>
      <c r="G2344" s="50"/>
    </row>
    <row r="2345" spans="1:7" ht="15.75" thickBot="1" x14ac:dyDescent="0.3">
      <c r="A2345" s="41" t="s">
        <v>39</v>
      </c>
      <c r="B2345" s="41" t="s">
        <v>40</v>
      </c>
      <c r="C2345" s="41" t="s">
        <v>41</v>
      </c>
      <c r="D2345" s="41" t="s">
        <v>42</v>
      </c>
      <c r="E2345" s="41" t="s">
        <v>43</v>
      </c>
      <c r="F2345" s="41" t="s">
        <v>44</v>
      </c>
      <c r="G2345" s="50"/>
    </row>
    <row r="2346" spans="1:7" ht="33.75" x14ac:dyDescent="0.25">
      <c r="A2346" s="42">
        <v>72101901</v>
      </c>
      <c r="B2346" s="43" t="str">
        <f ca="1">IFERROR(INDEX(UNSPSCDes,MATCH(INDIRECT(ADDRESS(ROW(),COLUMN()-1,4)),UNSPSCCode,0)),"")</f>
        <v>Diseño o decoración de interiores</v>
      </c>
      <c r="C2346" s="42" t="s">
        <v>46</v>
      </c>
      <c r="D2346" s="42">
        <v>1</v>
      </c>
      <c r="E2346" s="45">
        <v>10000</v>
      </c>
      <c r="F2346" s="46">
        <f ca="1">INDIRECT(ADDRESS(ROW(),COLUMN()-2,4))*INDIRECT(ADDRESS(ROW(),COLUMN()-1,4))</f>
        <v>10000</v>
      </c>
      <c r="G2346" s="50"/>
    </row>
    <row r="2347" spans="1:7" x14ac:dyDescent="0.25">
      <c r="A2347" s="50"/>
      <c r="B2347" s="50"/>
      <c r="C2347" s="50"/>
      <c r="D2347" s="50"/>
      <c r="E2347" s="54" t="s">
        <v>49</v>
      </c>
      <c r="F2347" s="49">
        <f ca="1">SUM(Table3156[MONTO TOTAL ESTIMADO])</f>
        <v>10000</v>
      </c>
      <c r="G2347" s="50"/>
    </row>
    <row r="2348" spans="1:7" ht="15.75" thickBot="1" x14ac:dyDescent="0.3">
      <c r="A2348" s="64"/>
      <c r="B2348" s="64"/>
      <c r="C2348" s="64"/>
      <c r="D2348" s="64"/>
      <c r="E2348" s="64"/>
      <c r="F2348" s="64"/>
      <c r="G2348" s="64"/>
    </row>
    <row r="2349" spans="1:7" ht="34.5" thickBot="1" x14ac:dyDescent="0.3">
      <c r="A2349" s="31" t="s">
        <v>18</v>
      </c>
      <c r="B2349" s="31" t="s">
        <v>19</v>
      </c>
      <c r="C2349" s="31" t="s">
        <v>20</v>
      </c>
      <c r="D2349" s="31" t="s">
        <v>21</v>
      </c>
      <c r="E2349" s="31" t="s">
        <v>22</v>
      </c>
      <c r="F2349" s="31" t="s">
        <v>23</v>
      </c>
      <c r="G2349" s="50"/>
    </row>
    <row r="2350" spans="1:7" ht="15.75" thickBot="1" x14ac:dyDescent="0.3">
      <c r="A2350" s="33" t="s">
        <v>83</v>
      </c>
      <c r="B2350" s="33" t="s">
        <v>84</v>
      </c>
      <c r="C2350" s="33" t="s">
        <v>74</v>
      </c>
      <c r="D2350" s="33" t="s">
        <v>52</v>
      </c>
      <c r="E2350" s="33" t="s">
        <v>53</v>
      </c>
      <c r="F2350" s="33"/>
      <c r="G2350" s="50"/>
    </row>
    <row r="2351" spans="1:7" ht="15.75" thickBot="1" x14ac:dyDescent="0.3">
      <c r="A2351" s="34" t="s">
        <v>28</v>
      </c>
      <c r="B2351" s="35" t="s">
        <v>29</v>
      </c>
      <c r="C2351" s="51">
        <v>45271</v>
      </c>
      <c r="D2351" s="34" t="s">
        <v>30</v>
      </c>
      <c r="E2351" s="35" t="s">
        <v>31</v>
      </c>
      <c r="F2351" s="33" t="s">
        <v>32</v>
      </c>
      <c r="G2351" s="50"/>
    </row>
    <row r="2352" spans="1:7" ht="15.75" thickBot="1" x14ac:dyDescent="0.3">
      <c r="A2352" s="39"/>
      <c r="B2352" s="35" t="s">
        <v>33</v>
      </c>
      <c r="C2352" s="52">
        <f>IF(C2351="","",IF(AND(MONTH(C2351)&gt;=1,MONTH(C2351)&lt;=3),1,IF(AND(MONTH(C2351)&gt;=4,MONTH(C2351)&lt;=6),2,IF(AND(MONTH(C2351)&gt;=7,MONTH(C2351)&lt;=9),3,4))))</f>
        <v>4</v>
      </c>
      <c r="D2352" s="39"/>
      <c r="E2352" s="35" t="s">
        <v>34</v>
      </c>
      <c r="F2352" s="33" t="s">
        <v>35</v>
      </c>
      <c r="G2352" s="50"/>
    </row>
    <row r="2353" spans="1:7" ht="15.75" thickBot="1" x14ac:dyDescent="0.3">
      <c r="A2353" s="39"/>
      <c r="B2353" s="35" t="s">
        <v>36</v>
      </c>
      <c r="C2353" s="51">
        <v>45280</v>
      </c>
      <c r="D2353" s="39"/>
      <c r="E2353" s="35" t="s">
        <v>37</v>
      </c>
      <c r="F2353" s="33" t="s">
        <v>35</v>
      </c>
      <c r="G2353" s="50"/>
    </row>
    <row r="2354" spans="1:7" ht="15.75" thickBot="1" x14ac:dyDescent="0.3">
      <c r="A2354" s="39"/>
      <c r="B2354" s="35" t="s">
        <v>33</v>
      </c>
      <c r="C2354" s="52">
        <f>IF(C2353="","",IF(AND(MONTH(C2353)&gt;=1,MONTH(C2353)&lt;=3),1,IF(AND(MONTH(C2353)&gt;=4,MONTH(C2353)&lt;=6),2,IF(AND(MONTH(C2353)&gt;=7,MONTH(C2353)&lt;=9),3,4))))</f>
        <v>4</v>
      </c>
      <c r="D2354" s="39"/>
      <c r="E2354" s="35" t="s">
        <v>38</v>
      </c>
      <c r="F2354" s="33" t="s">
        <v>35</v>
      </c>
      <c r="G2354" s="50"/>
    </row>
    <row r="2355" spans="1:7" ht="15.75" thickBot="1" x14ac:dyDescent="0.3">
      <c r="A2355" s="50"/>
      <c r="B2355" s="50"/>
      <c r="C2355" s="50"/>
      <c r="D2355" s="50"/>
      <c r="E2355" s="50"/>
      <c r="F2355" s="50"/>
      <c r="G2355" s="50"/>
    </row>
    <row r="2356" spans="1:7" ht="15.75" thickBot="1" x14ac:dyDescent="0.3">
      <c r="A2356" s="41" t="s">
        <v>39</v>
      </c>
      <c r="B2356" s="41" t="s">
        <v>40</v>
      </c>
      <c r="C2356" s="41" t="s">
        <v>41</v>
      </c>
      <c r="D2356" s="41" t="s">
        <v>42</v>
      </c>
      <c r="E2356" s="41" t="s">
        <v>43</v>
      </c>
      <c r="F2356" s="41" t="s">
        <v>44</v>
      </c>
      <c r="G2356" s="50"/>
    </row>
    <row r="2357" spans="1:7" ht="22.5" x14ac:dyDescent="0.25">
      <c r="A2357" s="42">
        <v>49101707</v>
      </c>
      <c r="B2357" s="43" t="str">
        <f ca="1">IFERROR(INDEX(UNSPSCDes,MATCH(INDIRECT(ADDRESS(ROW(),COLUMN()-1,4)),UNSPSCCode,0)),"")</f>
        <v>Certificado de logro</v>
      </c>
      <c r="C2357" s="42" t="s">
        <v>46</v>
      </c>
      <c r="D2357" s="42">
        <v>15</v>
      </c>
      <c r="E2357" s="45">
        <v>300</v>
      </c>
      <c r="F2357" s="46">
        <f ca="1">INDIRECT(ADDRESS(ROW(),COLUMN()-2,4))*INDIRECT(ADDRESS(ROW(),COLUMN()-1,4))</f>
        <v>4500</v>
      </c>
      <c r="G2357" s="50"/>
    </row>
    <row r="2358" spans="1:7" ht="33.75" x14ac:dyDescent="0.25">
      <c r="A2358" s="42">
        <v>80121704</v>
      </c>
      <c r="B2358" s="43" t="str">
        <f ca="1">IFERROR(INDEX(UNSPSCDes,MATCH(INDIRECT(ADDRESS(ROW(),COLUMN()-1,4)),UNSPSCCode,0)),"")</f>
        <v>Servicios legales sobre contratos</v>
      </c>
      <c r="C2358" s="42" t="s">
        <v>46</v>
      </c>
      <c r="D2358" s="42">
        <v>20</v>
      </c>
      <c r="E2358" s="45">
        <v>5000</v>
      </c>
      <c r="F2358" s="46">
        <f ca="1">INDIRECT(ADDRESS(ROW(),COLUMN()-2,4))*INDIRECT(ADDRESS(ROW(),COLUMN()-1,4))</f>
        <v>100000</v>
      </c>
      <c r="G2358" s="50"/>
    </row>
    <row r="2359" spans="1:7" x14ac:dyDescent="0.25">
      <c r="A2359" s="50"/>
      <c r="B2359" s="50"/>
      <c r="C2359" s="50"/>
      <c r="D2359" s="50"/>
      <c r="E2359" s="54" t="s">
        <v>49</v>
      </c>
      <c r="F2359" s="49">
        <f ca="1">SUM(Table3157[MONTO TOTAL ESTIMADO])</f>
        <v>104500</v>
      </c>
      <c r="G2359" s="50"/>
    </row>
    <row r="2360" spans="1:7" ht="15.75" thickBot="1" x14ac:dyDescent="0.3">
      <c r="A2360" s="64"/>
      <c r="B2360" s="64"/>
      <c r="C2360" s="64"/>
      <c r="D2360" s="64"/>
      <c r="E2360" s="64"/>
      <c r="F2360" s="64"/>
      <c r="G2360" s="64"/>
    </row>
    <row r="2361" spans="1:7" ht="34.5" thickBot="1" x14ac:dyDescent="0.3">
      <c r="A2361" s="31" t="s">
        <v>18</v>
      </c>
      <c r="B2361" s="31" t="s">
        <v>19</v>
      </c>
      <c r="C2361" s="31" t="s">
        <v>20</v>
      </c>
      <c r="D2361" s="31" t="s">
        <v>21</v>
      </c>
      <c r="E2361" s="31" t="s">
        <v>22</v>
      </c>
      <c r="F2361" s="31" t="s">
        <v>23</v>
      </c>
      <c r="G2361" s="50"/>
    </row>
    <row r="2362" spans="1:7" ht="15.75" thickBot="1" x14ac:dyDescent="0.3">
      <c r="A2362" s="33" t="s">
        <v>111</v>
      </c>
      <c r="B2362" s="33" t="s">
        <v>112</v>
      </c>
      <c r="C2362" s="33" t="s">
        <v>74</v>
      </c>
      <c r="D2362" s="33" t="s">
        <v>52</v>
      </c>
      <c r="E2362" s="33" t="s">
        <v>56</v>
      </c>
      <c r="F2362" s="33"/>
      <c r="G2362" s="50"/>
    </row>
    <row r="2363" spans="1:7" ht="15.75" thickBot="1" x14ac:dyDescent="0.3">
      <c r="A2363" s="34" t="s">
        <v>28</v>
      </c>
      <c r="B2363" s="35" t="s">
        <v>29</v>
      </c>
      <c r="C2363" s="51">
        <v>45271</v>
      </c>
      <c r="D2363" s="34" t="s">
        <v>30</v>
      </c>
      <c r="E2363" s="35" t="s">
        <v>31</v>
      </c>
      <c r="F2363" s="33" t="s">
        <v>32</v>
      </c>
      <c r="G2363" s="50"/>
    </row>
    <row r="2364" spans="1:7" ht="15.75" thickBot="1" x14ac:dyDescent="0.3">
      <c r="A2364" s="39"/>
      <c r="B2364" s="35" t="s">
        <v>33</v>
      </c>
      <c r="C2364" s="52">
        <f>IF(C2363="","",IF(AND(MONTH(C2363)&gt;=1,MONTH(C2363)&lt;=3),1,IF(AND(MONTH(C2363)&gt;=4,MONTH(C2363)&lt;=6),2,IF(AND(MONTH(C2363)&gt;=7,MONTH(C2363)&lt;=9),3,4))))</f>
        <v>4</v>
      </c>
      <c r="D2364" s="39"/>
      <c r="E2364" s="35" t="s">
        <v>34</v>
      </c>
      <c r="F2364" s="33" t="s">
        <v>35</v>
      </c>
      <c r="G2364" s="50"/>
    </row>
    <row r="2365" spans="1:7" ht="15.75" thickBot="1" x14ac:dyDescent="0.3">
      <c r="A2365" s="39"/>
      <c r="B2365" s="35" t="s">
        <v>36</v>
      </c>
      <c r="C2365" s="51">
        <v>45280</v>
      </c>
      <c r="D2365" s="39"/>
      <c r="E2365" s="35" t="s">
        <v>37</v>
      </c>
      <c r="F2365" s="33" t="s">
        <v>35</v>
      </c>
      <c r="G2365" s="50"/>
    </row>
    <row r="2366" spans="1:7" ht="15.75" thickBot="1" x14ac:dyDescent="0.3">
      <c r="A2366" s="39"/>
      <c r="B2366" s="35" t="s">
        <v>33</v>
      </c>
      <c r="C2366" s="52">
        <f>IF(C2365="","",IF(AND(MONTH(C2365)&gt;=1,MONTH(C2365)&lt;=3),1,IF(AND(MONTH(C2365)&gt;=4,MONTH(C2365)&lt;=6),2,IF(AND(MONTH(C2365)&gt;=7,MONTH(C2365)&lt;=9),3,4))))</f>
        <v>4</v>
      </c>
      <c r="D2366" s="39"/>
      <c r="E2366" s="35" t="s">
        <v>38</v>
      </c>
      <c r="F2366" s="33" t="s">
        <v>35</v>
      </c>
      <c r="G2366" s="50"/>
    </row>
    <row r="2367" spans="1:7" ht="15.75" thickBot="1" x14ac:dyDescent="0.3">
      <c r="A2367" s="50"/>
      <c r="B2367" s="50"/>
      <c r="C2367" s="50"/>
      <c r="D2367" s="50"/>
      <c r="E2367" s="50"/>
      <c r="F2367" s="50"/>
      <c r="G2367" s="50"/>
    </row>
    <row r="2368" spans="1:7" ht="15.75" thickBot="1" x14ac:dyDescent="0.3">
      <c r="A2368" s="41" t="s">
        <v>39</v>
      </c>
      <c r="B2368" s="41" t="s">
        <v>40</v>
      </c>
      <c r="C2368" s="41" t="s">
        <v>41</v>
      </c>
      <c r="D2368" s="41" t="s">
        <v>42</v>
      </c>
      <c r="E2368" s="41" t="s">
        <v>43</v>
      </c>
      <c r="F2368" s="41" t="s">
        <v>44</v>
      </c>
      <c r="G2368" s="50"/>
    </row>
    <row r="2369" spans="1:7" ht="56.25" x14ac:dyDescent="0.25">
      <c r="A2369" s="42">
        <v>81111812</v>
      </c>
      <c r="B2369" s="43" t="str">
        <f ca="1">IFERROR(INDEX(UNSPSCDes,MATCH(INDIRECT(ADDRESS(ROW(),COLUMN()-1,4)),UNSPSCCode,0)),"")</f>
        <v>Servicio de mantenimiento o soporte del hardware del computador</v>
      </c>
      <c r="C2369" s="42" t="s">
        <v>46</v>
      </c>
      <c r="D2369" s="42">
        <v>1</v>
      </c>
      <c r="E2369" s="45">
        <v>50000</v>
      </c>
      <c r="F2369" s="46">
        <f ca="1">INDIRECT(ADDRESS(ROW(),COLUMN()-2,4))*INDIRECT(ADDRESS(ROW(),COLUMN()-1,4))</f>
        <v>50000</v>
      </c>
      <c r="G2369" s="50"/>
    </row>
    <row r="2370" spans="1:7" x14ac:dyDescent="0.25">
      <c r="A2370" s="50"/>
      <c r="B2370" s="50"/>
      <c r="C2370" s="50"/>
      <c r="D2370" s="50"/>
      <c r="E2370" s="54" t="s">
        <v>49</v>
      </c>
      <c r="F2370" s="49">
        <f ca="1">SUM(Table3158[MONTO TOTAL ESTIMADO])</f>
        <v>50000</v>
      </c>
      <c r="G2370" s="50"/>
    </row>
    <row r="2371" spans="1:7" ht="15.75" thickBot="1" x14ac:dyDescent="0.3">
      <c r="A2371" s="64"/>
      <c r="B2371" s="64"/>
      <c r="C2371" s="64"/>
      <c r="D2371" s="64"/>
      <c r="E2371" s="64"/>
      <c r="F2371" s="64"/>
      <c r="G2371" s="64"/>
    </row>
    <row r="2372" spans="1:7" ht="34.5" thickBot="1" x14ac:dyDescent="0.3">
      <c r="A2372" s="31" t="s">
        <v>18</v>
      </c>
      <c r="B2372" s="31" t="s">
        <v>19</v>
      </c>
      <c r="C2372" s="31" t="s">
        <v>20</v>
      </c>
      <c r="D2372" s="31" t="s">
        <v>21</v>
      </c>
      <c r="E2372" s="31" t="s">
        <v>22</v>
      </c>
      <c r="F2372" s="31" t="s">
        <v>23</v>
      </c>
      <c r="G2372" s="50"/>
    </row>
    <row r="2373" spans="1:7" ht="15.75" thickBot="1" x14ac:dyDescent="0.3">
      <c r="A2373" s="33" t="s">
        <v>146</v>
      </c>
      <c r="B2373" s="33" t="s">
        <v>146</v>
      </c>
      <c r="C2373" s="33" t="s">
        <v>26</v>
      </c>
      <c r="D2373" s="33" t="s">
        <v>27</v>
      </c>
      <c r="E2373" s="33" t="s">
        <v>56</v>
      </c>
      <c r="F2373" s="33"/>
      <c r="G2373" s="50"/>
    </row>
    <row r="2374" spans="1:7" ht="15.75" thickBot="1" x14ac:dyDescent="0.3">
      <c r="A2374" s="34" t="s">
        <v>28</v>
      </c>
      <c r="B2374" s="35" t="s">
        <v>29</v>
      </c>
      <c r="C2374" s="51">
        <v>45272</v>
      </c>
      <c r="D2374" s="34" t="s">
        <v>30</v>
      </c>
      <c r="E2374" s="35" t="s">
        <v>31</v>
      </c>
      <c r="F2374" s="33" t="s">
        <v>32</v>
      </c>
      <c r="G2374" s="50"/>
    </row>
    <row r="2375" spans="1:7" ht="15.75" thickBot="1" x14ac:dyDescent="0.3">
      <c r="A2375" s="39"/>
      <c r="B2375" s="35" t="s">
        <v>33</v>
      </c>
      <c r="C2375" s="52">
        <f>IF(C2374="","",IF(AND(MONTH(C2374)&gt;=1,MONTH(C2374)&lt;=3),1,IF(AND(MONTH(C2374)&gt;=4,MONTH(C2374)&lt;=6),2,IF(AND(MONTH(C2374)&gt;=7,MONTH(C2374)&lt;=9),3,4))))</f>
        <v>4</v>
      </c>
      <c r="D2375" s="39"/>
      <c r="E2375" s="35" t="s">
        <v>34</v>
      </c>
      <c r="F2375" s="33" t="s">
        <v>35</v>
      </c>
      <c r="G2375" s="50"/>
    </row>
    <row r="2376" spans="1:7" ht="15.75" thickBot="1" x14ac:dyDescent="0.3">
      <c r="A2376" s="39"/>
      <c r="B2376" s="35" t="s">
        <v>36</v>
      </c>
      <c r="C2376" s="51">
        <v>45281</v>
      </c>
      <c r="D2376" s="39"/>
      <c r="E2376" s="35" t="s">
        <v>37</v>
      </c>
      <c r="F2376" s="33" t="s">
        <v>35</v>
      </c>
      <c r="G2376" s="50"/>
    </row>
    <row r="2377" spans="1:7" ht="15.75" thickBot="1" x14ac:dyDescent="0.3">
      <c r="A2377" s="39"/>
      <c r="B2377" s="35" t="s">
        <v>33</v>
      </c>
      <c r="C2377" s="52">
        <f>IF(C2376="","",IF(AND(MONTH(C2376)&gt;=1,MONTH(C2376)&lt;=3),1,IF(AND(MONTH(C2376)&gt;=4,MONTH(C2376)&lt;=6),2,IF(AND(MONTH(C2376)&gt;=7,MONTH(C2376)&lt;=9),3,4))))</f>
        <v>4</v>
      </c>
      <c r="D2377" s="39"/>
      <c r="E2377" s="35" t="s">
        <v>38</v>
      </c>
      <c r="F2377" s="33" t="s">
        <v>35</v>
      </c>
      <c r="G2377" s="50"/>
    </row>
    <row r="2378" spans="1:7" ht="15.75" thickBot="1" x14ac:dyDescent="0.3">
      <c r="A2378" s="50"/>
      <c r="B2378" s="50"/>
      <c r="C2378" s="50"/>
      <c r="D2378" s="50"/>
      <c r="E2378" s="50"/>
      <c r="F2378" s="50"/>
      <c r="G2378" s="50"/>
    </row>
    <row r="2379" spans="1:7" ht="15.75" thickBot="1" x14ac:dyDescent="0.3">
      <c r="A2379" s="41" t="s">
        <v>39</v>
      </c>
      <c r="B2379" s="41" t="s">
        <v>40</v>
      </c>
      <c r="C2379" s="41" t="s">
        <v>41</v>
      </c>
      <c r="D2379" s="41" t="s">
        <v>42</v>
      </c>
      <c r="E2379" s="41" t="s">
        <v>43</v>
      </c>
      <c r="F2379" s="41" t="s">
        <v>44</v>
      </c>
      <c r="G2379" s="50"/>
    </row>
    <row r="2380" spans="1:7" ht="33.75" x14ac:dyDescent="0.25">
      <c r="A2380" s="42">
        <v>43231512</v>
      </c>
      <c r="B2380" s="43" t="str">
        <f ca="1">IFERROR(INDEX(UNSPSCDes,MATCH(INDIRECT(ADDRESS(ROW(),COLUMN()-1,4)),UNSPSCCode,0)),"")</f>
        <v>Software de manejo de licencias</v>
      </c>
      <c r="C2380" s="42" t="s">
        <v>46</v>
      </c>
      <c r="D2380" s="42">
        <v>1</v>
      </c>
      <c r="E2380" s="45">
        <v>400000</v>
      </c>
      <c r="F2380" s="46">
        <f ca="1">INDIRECT(ADDRESS(ROW(),COLUMN()-2,4))*INDIRECT(ADDRESS(ROW(),COLUMN()-1,4))</f>
        <v>400000</v>
      </c>
      <c r="G2380" s="50"/>
    </row>
    <row r="2381" spans="1:7" x14ac:dyDescent="0.25">
      <c r="A2381" s="50"/>
      <c r="B2381" s="50"/>
      <c r="C2381" s="50"/>
      <c r="D2381" s="50"/>
      <c r="E2381" s="54" t="s">
        <v>49</v>
      </c>
      <c r="F2381" s="49">
        <f ca="1">SUM(Table3159[MONTO TOTAL ESTIMADO])</f>
        <v>400000</v>
      </c>
      <c r="G2381" s="50"/>
    </row>
    <row r="2382" spans="1:7" ht="15.75" thickBot="1" x14ac:dyDescent="0.3">
      <c r="A2382" s="64"/>
      <c r="B2382" s="64"/>
      <c r="C2382" s="64"/>
      <c r="D2382" s="64"/>
      <c r="E2382" s="64"/>
      <c r="F2382" s="64"/>
      <c r="G2382" s="64"/>
    </row>
    <row r="2383" spans="1:7" ht="34.5" thickBot="1" x14ac:dyDescent="0.3">
      <c r="A2383" s="31" t="s">
        <v>18</v>
      </c>
      <c r="B2383" s="31" t="s">
        <v>19</v>
      </c>
      <c r="C2383" s="31" t="s">
        <v>20</v>
      </c>
      <c r="D2383" s="31" t="s">
        <v>21</v>
      </c>
      <c r="E2383" s="31" t="s">
        <v>22</v>
      </c>
      <c r="F2383" s="31" t="s">
        <v>23</v>
      </c>
      <c r="G2383" s="50"/>
    </row>
    <row r="2384" spans="1:7" ht="15.75" thickBot="1" x14ac:dyDescent="0.3">
      <c r="A2384" s="33" t="s">
        <v>147</v>
      </c>
      <c r="B2384" s="33" t="s">
        <v>148</v>
      </c>
      <c r="C2384" s="33" t="s">
        <v>134</v>
      </c>
      <c r="D2384" s="33" t="s">
        <v>75</v>
      </c>
      <c r="E2384" s="33" t="s">
        <v>56</v>
      </c>
      <c r="F2384" s="33"/>
      <c r="G2384" s="50"/>
    </row>
    <row r="2385" spans="1:7" ht="15.75" thickBot="1" x14ac:dyDescent="0.3">
      <c r="A2385" s="34" t="s">
        <v>28</v>
      </c>
      <c r="B2385" s="35" t="s">
        <v>29</v>
      </c>
      <c r="C2385" s="51">
        <v>45111</v>
      </c>
      <c r="D2385" s="34" t="s">
        <v>30</v>
      </c>
      <c r="E2385" s="35" t="s">
        <v>31</v>
      </c>
      <c r="F2385" s="33" t="s">
        <v>32</v>
      </c>
      <c r="G2385" s="50"/>
    </row>
    <row r="2386" spans="1:7" ht="15.75" thickBot="1" x14ac:dyDescent="0.3">
      <c r="A2386" s="39"/>
      <c r="B2386" s="35" t="s">
        <v>33</v>
      </c>
      <c r="C2386" s="52">
        <f>IF(C2385="","",IF(AND(MONTH(C2385)&gt;=1,MONTH(C2385)&lt;=3),1,IF(AND(MONTH(C2385)&gt;=4,MONTH(C2385)&lt;=6),2,IF(AND(MONTH(C2385)&gt;=7,MONTH(C2385)&lt;=9),3,4))))</f>
        <v>3</v>
      </c>
      <c r="D2386" s="39"/>
      <c r="E2386" s="35" t="s">
        <v>34</v>
      </c>
      <c r="F2386" s="33" t="s">
        <v>35</v>
      </c>
      <c r="G2386" s="50"/>
    </row>
    <row r="2387" spans="1:7" ht="15.75" thickBot="1" x14ac:dyDescent="0.3">
      <c r="A2387" s="39"/>
      <c r="B2387" s="35" t="s">
        <v>36</v>
      </c>
      <c r="C2387" s="51">
        <v>45120</v>
      </c>
      <c r="D2387" s="39"/>
      <c r="E2387" s="35" t="s">
        <v>37</v>
      </c>
      <c r="F2387" s="33" t="s">
        <v>35</v>
      </c>
      <c r="G2387" s="50"/>
    </row>
    <row r="2388" spans="1:7" ht="15.75" thickBot="1" x14ac:dyDescent="0.3">
      <c r="A2388" s="39"/>
      <c r="B2388" s="35" t="s">
        <v>33</v>
      </c>
      <c r="C2388" s="52">
        <f>IF(C2387="","",IF(AND(MONTH(C2387)&gt;=1,MONTH(C2387)&lt;=3),1,IF(AND(MONTH(C2387)&gt;=4,MONTH(C2387)&lt;=6),2,IF(AND(MONTH(C2387)&gt;=7,MONTH(C2387)&lt;=9),3,4))))</f>
        <v>3</v>
      </c>
      <c r="D2388" s="39"/>
      <c r="E2388" s="35" t="s">
        <v>38</v>
      </c>
      <c r="F2388" s="33" t="s">
        <v>35</v>
      </c>
      <c r="G2388" s="50"/>
    </row>
    <row r="2389" spans="1:7" ht="15.75" thickBot="1" x14ac:dyDescent="0.3">
      <c r="A2389" s="50"/>
      <c r="B2389" s="50"/>
      <c r="C2389" s="50"/>
      <c r="D2389" s="50"/>
      <c r="E2389" s="50"/>
      <c r="F2389" s="50"/>
      <c r="G2389" s="50"/>
    </row>
    <row r="2390" spans="1:7" ht="15.75" thickBot="1" x14ac:dyDescent="0.3">
      <c r="A2390" s="41" t="s">
        <v>39</v>
      </c>
      <c r="B2390" s="41" t="s">
        <v>40</v>
      </c>
      <c r="C2390" s="41" t="s">
        <v>41</v>
      </c>
      <c r="D2390" s="41" t="s">
        <v>42</v>
      </c>
      <c r="E2390" s="41" t="s">
        <v>43</v>
      </c>
      <c r="F2390" s="41" t="s">
        <v>44</v>
      </c>
      <c r="G2390" s="50"/>
    </row>
    <row r="2391" spans="1:7" ht="45" x14ac:dyDescent="0.25">
      <c r="A2391" s="42">
        <v>80101505</v>
      </c>
      <c r="B2391" s="43" t="str">
        <f ca="1">IFERROR(INDEX(UNSPSCDes,MATCH(INDIRECT(ADDRESS(ROW(),COLUMN()-1,4)),UNSPSCCode,0)),"")</f>
        <v>Desarrollo de políticas u objetivos empresariales</v>
      </c>
      <c r="C2391" s="42" t="s">
        <v>46</v>
      </c>
      <c r="D2391" s="42">
        <v>1</v>
      </c>
      <c r="E2391" s="45">
        <v>2000000</v>
      </c>
      <c r="F2391" s="46">
        <f ca="1">INDIRECT(ADDRESS(ROW(),COLUMN()-2,4))*INDIRECT(ADDRESS(ROW(),COLUMN()-1,4))</f>
        <v>2000000</v>
      </c>
      <c r="G2391" s="50"/>
    </row>
    <row r="2392" spans="1:7" x14ac:dyDescent="0.25">
      <c r="A2392" s="50"/>
      <c r="B2392" s="50"/>
      <c r="C2392" s="50"/>
      <c r="D2392" s="50"/>
      <c r="E2392" s="54" t="s">
        <v>49</v>
      </c>
      <c r="F2392" s="49">
        <f ca="1">SUM(Table3160[MONTO TOTAL ESTIMADO])</f>
        <v>2000000</v>
      </c>
      <c r="G2392" s="50"/>
    </row>
    <row r="2393" spans="1:7" ht="15.75" thickBot="1" x14ac:dyDescent="0.3">
      <c r="A2393" s="64"/>
      <c r="B2393" s="64"/>
      <c r="C2393" s="64"/>
      <c r="D2393" s="64"/>
      <c r="E2393" s="64"/>
      <c r="F2393" s="64"/>
      <c r="G2393" s="64"/>
    </row>
    <row r="2394" spans="1:7" ht="34.5" thickBot="1" x14ac:dyDescent="0.3">
      <c r="A2394" s="31" t="s">
        <v>18</v>
      </c>
      <c r="B2394" s="31" t="s">
        <v>19</v>
      </c>
      <c r="C2394" s="31" t="s">
        <v>20</v>
      </c>
      <c r="D2394" s="31" t="s">
        <v>21</v>
      </c>
      <c r="E2394" s="31" t="s">
        <v>22</v>
      </c>
      <c r="F2394" s="31" t="s">
        <v>23</v>
      </c>
      <c r="G2394" s="50"/>
    </row>
    <row r="2395" spans="1:7" ht="15.75" thickBot="1" x14ac:dyDescent="0.3">
      <c r="A2395" s="33" t="s">
        <v>149</v>
      </c>
      <c r="B2395" s="33" t="s">
        <v>150</v>
      </c>
      <c r="C2395" s="33" t="s">
        <v>74</v>
      </c>
      <c r="D2395" s="33" t="s">
        <v>27</v>
      </c>
      <c r="E2395" s="33" t="s">
        <v>53</v>
      </c>
      <c r="F2395" s="33"/>
      <c r="G2395" s="50"/>
    </row>
    <row r="2396" spans="1:7" ht="15.75" thickBot="1" x14ac:dyDescent="0.3">
      <c r="A2396" s="34" t="s">
        <v>28</v>
      </c>
      <c r="B2396" s="35" t="s">
        <v>29</v>
      </c>
      <c r="C2396" s="51">
        <v>45124</v>
      </c>
      <c r="D2396" s="34" t="s">
        <v>30</v>
      </c>
      <c r="E2396" s="35" t="s">
        <v>31</v>
      </c>
      <c r="F2396" s="33" t="s">
        <v>32</v>
      </c>
      <c r="G2396" s="50"/>
    </row>
    <row r="2397" spans="1:7" ht="15.75" thickBot="1" x14ac:dyDescent="0.3">
      <c r="A2397" s="39"/>
      <c r="B2397" s="35" t="s">
        <v>33</v>
      </c>
      <c r="C2397" s="52">
        <f>IF(C2396="","",IF(AND(MONTH(C2396)&gt;=1,MONTH(C2396)&lt;=3),1,IF(AND(MONTH(C2396)&gt;=4,MONTH(C2396)&lt;=6),2,IF(AND(MONTH(C2396)&gt;=7,MONTH(C2396)&lt;=9),3,4))))</f>
        <v>3</v>
      </c>
      <c r="D2397" s="39"/>
      <c r="E2397" s="35" t="s">
        <v>34</v>
      </c>
      <c r="F2397" s="33" t="s">
        <v>35</v>
      </c>
      <c r="G2397" s="50"/>
    </row>
    <row r="2398" spans="1:7" ht="15.75" thickBot="1" x14ac:dyDescent="0.3">
      <c r="A2398" s="39"/>
      <c r="B2398" s="35" t="s">
        <v>36</v>
      </c>
      <c r="C2398" s="51">
        <v>45133</v>
      </c>
      <c r="D2398" s="39"/>
      <c r="E2398" s="35" t="s">
        <v>37</v>
      </c>
      <c r="F2398" s="33" t="s">
        <v>35</v>
      </c>
      <c r="G2398" s="50"/>
    </row>
    <row r="2399" spans="1:7" ht="15.75" thickBot="1" x14ac:dyDescent="0.3">
      <c r="A2399" s="39"/>
      <c r="B2399" s="35" t="s">
        <v>33</v>
      </c>
      <c r="C2399" s="52">
        <f>IF(C2398="","",IF(AND(MONTH(C2398)&gt;=1,MONTH(C2398)&lt;=3),1,IF(AND(MONTH(C2398)&gt;=4,MONTH(C2398)&lt;=6),2,IF(AND(MONTH(C2398)&gt;=7,MONTH(C2398)&lt;=9),3,4))))</f>
        <v>3</v>
      </c>
      <c r="D2399" s="39"/>
      <c r="E2399" s="35" t="s">
        <v>38</v>
      </c>
      <c r="F2399" s="33" t="s">
        <v>35</v>
      </c>
      <c r="G2399" s="50"/>
    </row>
    <row r="2400" spans="1:7" ht="15.75" thickBot="1" x14ac:dyDescent="0.3">
      <c r="A2400" s="50"/>
      <c r="B2400" s="50"/>
      <c r="C2400" s="50"/>
      <c r="D2400" s="50"/>
      <c r="E2400" s="50"/>
      <c r="F2400" s="50"/>
      <c r="G2400" s="50"/>
    </row>
    <row r="2401" spans="1:7" ht="15.75" thickBot="1" x14ac:dyDescent="0.3">
      <c r="A2401" s="41" t="s">
        <v>39</v>
      </c>
      <c r="B2401" s="41" t="s">
        <v>40</v>
      </c>
      <c r="C2401" s="41" t="s">
        <v>41</v>
      </c>
      <c r="D2401" s="41" t="s">
        <v>42</v>
      </c>
      <c r="E2401" s="41" t="s">
        <v>43</v>
      </c>
      <c r="F2401" s="41" t="s">
        <v>44</v>
      </c>
      <c r="G2401" s="50"/>
    </row>
    <row r="2402" spans="1:7" ht="22.5" x14ac:dyDescent="0.25">
      <c r="A2402" s="42">
        <v>82121503</v>
      </c>
      <c r="B2402" s="43" t="str">
        <f ca="1">IFERROR(INDEX(UNSPSCDes,MATCH(INDIRECT(ADDRESS(ROW(),COLUMN()-1,4)),UNSPSCCode,0)),"")</f>
        <v>Impresión digital</v>
      </c>
      <c r="C2402" s="42" t="s">
        <v>46</v>
      </c>
      <c r="D2402" s="42">
        <v>1000</v>
      </c>
      <c r="E2402" s="45">
        <v>165</v>
      </c>
      <c r="F2402" s="46">
        <f ca="1">INDIRECT(ADDRESS(ROW(),COLUMN()-2,4))*INDIRECT(ADDRESS(ROW(),COLUMN()-1,4))</f>
        <v>165000</v>
      </c>
      <c r="G2402" s="50"/>
    </row>
    <row r="2403" spans="1:7" x14ac:dyDescent="0.25">
      <c r="A2403" s="50"/>
      <c r="B2403" s="50"/>
      <c r="C2403" s="50"/>
      <c r="D2403" s="50"/>
      <c r="E2403" s="54" t="s">
        <v>49</v>
      </c>
      <c r="F2403" s="49">
        <f ca="1">SUM(Table3161[MONTO TOTAL ESTIMADO])</f>
        <v>165000</v>
      </c>
      <c r="G2403" s="50"/>
    </row>
    <row r="2404" spans="1:7" ht="15.75" thickBot="1" x14ac:dyDescent="0.3">
      <c r="A2404" s="64"/>
      <c r="B2404" s="64"/>
      <c r="C2404" s="64"/>
      <c r="D2404" s="64"/>
      <c r="E2404" s="64"/>
      <c r="F2404" s="64"/>
      <c r="G2404" s="64"/>
    </row>
    <row r="2405" spans="1:7" ht="34.5" thickBot="1" x14ac:dyDescent="0.3">
      <c r="A2405" s="31" t="s">
        <v>18</v>
      </c>
      <c r="B2405" s="31" t="s">
        <v>19</v>
      </c>
      <c r="C2405" s="31" t="s">
        <v>20</v>
      </c>
      <c r="D2405" s="31" t="s">
        <v>21</v>
      </c>
      <c r="E2405" s="31" t="s">
        <v>22</v>
      </c>
      <c r="F2405" s="31" t="s">
        <v>23</v>
      </c>
      <c r="G2405" s="50"/>
    </row>
    <row r="2406" spans="1:7" ht="15.75" thickBot="1" x14ac:dyDescent="0.3">
      <c r="A2406" s="33" t="s">
        <v>151</v>
      </c>
      <c r="B2406" s="33" t="s">
        <v>148</v>
      </c>
      <c r="C2406" s="33" t="s">
        <v>74</v>
      </c>
      <c r="D2406" s="33" t="s">
        <v>27</v>
      </c>
      <c r="E2406" s="33" t="s">
        <v>56</v>
      </c>
      <c r="F2406" s="33"/>
      <c r="G2406" s="50"/>
    </row>
    <row r="2407" spans="1:7" ht="15.75" thickBot="1" x14ac:dyDescent="0.3">
      <c r="A2407" s="34" t="s">
        <v>28</v>
      </c>
      <c r="B2407" s="35" t="s">
        <v>29</v>
      </c>
      <c r="C2407" s="51">
        <v>45055</v>
      </c>
      <c r="D2407" s="34" t="s">
        <v>30</v>
      </c>
      <c r="E2407" s="35" t="s">
        <v>31</v>
      </c>
      <c r="F2407" s="33" t="s">
        <v>32</v>
      </c>
      <c r="G2407" s="50"/>
    </row>
    <row r="2408" spans="1:7" ht="15.75" thickBot="1" x14ac:dyDescent="0.3">
      <c r="A2408" s="39"/>
      <c r="B2408" s="35" t="s">
        <v>33</v>
      </c>
      <c r="C2408" s="52">
        <f>IF(C2407="","",IF(AND(MONTH(C2407)&gt;=1,MONTH(C2407)&lt;=3),1,IF(AND(MONTH(C2407)&gt;=4,MONTH(C2407)&lt;=6),2,IF(AND(MONTH(C2407)&gt;=7,MONTH(C2407)&lt;=9),3,4))))</f>
        <v>2</v>
      </c>
      <c r="D2408" s="39"/>
      <c r="E2408" s="35" t="s">
        <v>34</v>
      </c>
      <c r="F2408" s="33" t="s">
        <v>35</v>
      </c>
      <c r="G2408" s="50"/>
    </row>
    <row r="2409" spans="1:7" ht="15.75" thickBot="1" x14ac:dyDescent="0.3">
      <c r="A2409" s="39"/>
      <c r="B2409" s="35" t="s">
        <v>36</v>
      </c>
      <c r="C2409" s="51">
        <v>45067</v>
      </c>
      <c r="D2409" s="39"/>
      <c r="E2409" s="35" t="s">
        <v>37</v>
      </c>
      <c r="F2409" s="33" t="s">
        <v>35</v>
      </c>
      <c r="G2409" s="50"/>
    </row>
    <row r="2410" spans="1:7" ht="15.75" thickBot="1" x14ac:dyDescent="0.3">
      <c r="A2410" s="39"/>
      <c r="B2410" s="35" t="s">
        <v>33</v>
      </c>
      <c r="C2410" s="52">
        <f>IF(C2409="","",IF(AND(MONTH(C2409)&gt;=1,MONTH(C2409)&lt;=3),1,IF(AND(MONTH(C2409)&gt;=4,MONTH(C2409)&lt;=6),2,IF(AND(MONTH(C2409)&gt;=7,MONTH(C2409)&lt;=9),3,4))))</f>
        <v>2</v>
      </c>
      <c r="D2410" s="39"/>
      <c r="E2410" s="35" t="s">
        <v>38</v>
      </c>
      <c r="F2410" s="33" t="s">
        <v>35</v>
      </c>
      <c r="G2410" s="50"/>
    </row>
    <row r="2411" spans="1:7" ht="15.75" thickBot="1" x14ac:dyDescent="0.3">
      <c r="A2411" s="50"/>
      <c r="B2411" s="50"/>
      <c r="C2411" s="50"/>
      <c r="D2411" s="50"/>
      <c r="E2411" s="50"/>
      <c r="F2411" s="50"/>
      <c r="G2411" s="50"/>
    </row>
    <row r="2412" spans="1:7" ht="15.75" thickBot="1" x14ac:dyDescent="0.3">
      <c r="A2412" s="41" t="s">
        <v>39</v>
      </c>
      <c r="B2412" s="41" t="s">
        <v>40</v>
      </c>
      <c r="C2412" s="41" t="s">
        <v>41</v>
      </c>
      <c r="D2412" s="41" t="s">
        <v>42</v>
      </c>
      <c r="E2412" s="41" t="s">
        <v>43</v>
      </c>
      <c r="F2412" s="41" t="s">
        <v>44</v>
      </c>
      <c r="G2412" s="50"/>
    </row>
    <row r="2413" spans="1:7" ht="33.75" x14ac:dyDescent="0.25">
      <c r="A2413" s="42">
        <v>80141803</v>
      </c>
      <c r="B2413" s="43" t="str">
        <f ca="1">IFERROR(INDEX(UNSPSCDes,MATCH(INDIRECT(ADDRESS(ROW(),COLUMN()-1,4)),UNSPSCCode,0)),"")</f>
        <v>Servicio de escritura de direcciones</v>
      </c>
      <c r="C2413" s="42" t="s">
        <v>46</v>
      </c>
      <c r="D2413" s="42">
        <v>500</v>
      </c>
      <c r="E2413" s="45">
        <v>1125</v>
      </c>
      <c r="F2413" s="46">
        <f ca="1">INDIRECT(ADDRESS(ROW(),COLUMN()-2,4))*INDIRECT(ADDRESS(ROW(),COLUMN()-1,4))</f>
        <v>562500</v>
      </c>
      <c r="G2413" s="50"/>
    </row>
    <row r="2414" spans="1:7" x14ac:dyDescent="0.25">
      <c r="A2414" s="50"/>
      <c r="B2414" s="50"/>
      <c r="C2414" s="50"/>
      <c r="D2414" s="50"/>
      <c r="E2414" s="54" t="s">
        <v>49</v>
      </c>
      <c r="F2414" s="49">
        <f ca="1">SUM(Table3162[MONTO TOTAL ESTIMADO])</f>
        <v>562500</v>
      </c>
      <c r="G2414" s="50"/>
    </row>
    <row r="2415" spans="1:7" ht="15.75" thickBot="1" x14ac:dyDescent="0.3">
      <c r="A2415" s="64"/>
      <c r="B2415" s="64"/>
      <c r="C2415" s="64"/>
      <c r="D2415" s="64"/>
      <c r="E2415" s="64"/>
      <c r="F2415" s="64"/>
      <c r="G2415" s="64"/>
    </row>
    <row r="2416" spans="1:7" ht="34.5" thickBot="1" x14ac:dyDescent="0.3">
      <c r="A2416" s="31" t="s">
        <v>18</v>
      </c>
      <c r="B2416" s="31" t="s">
        <v>19</v>
      </c>
      <c r="C2416" s="31" t="s">
        <v>20</v>
      </c>
      <c r="D2416" s="31" t="s">
        <v>21</v>
      </c>
      <c r="E2416" s="31" t="s">
        <v>22</v>
      </c>
      <c r="F2416" s="31" t="s">
        <v>23</v>
      </c>
      <c r="G2416" s="50"/>
    </row>
    <row r="2417" spans="1:7" ht="15.75" thickBot="1" x14ac:dyDescent="0.3">
      <c r="A2417" s="33" t="s">
        <v>151</v>
      </c>
      <c r="B2417" s="33" t="s">
        <v>148</v>
      </c>
      <c r="C2417" s="33" t="s">
        <v>74</v>
      </c>
      <c r="D2417" s="33" t="s">
        <v>27</v>
      </c>
      <c r="E2417" s="33" t="s">
        <v>56</v>
      </c>
      <c r="F2417" s="33"/>
      <c r="G2417" s="50"/>
    </row>
    <row r="2418" spans="1:7" ht="15.75" thickBot="1" x14ac:dyDescent="0.3">
      <c r="A2418" s="34" t="s">
        <v>28</v>
      </c>
      <c r="B2418" s="35" t="s">
        <v>29</v>
      </c>
      <c r="C2418" s="51">
        <v>45202</v>
      </c>
      <c r="D2418" s="34" t="s">
        <v>30</v>
      </c>
      <c r="E2418" s="35" t="s">
        <v>31</v>
      </c>
      <c r="F2418" s="33" t="s">
        <v>32</v>
      </c>
      <c r="G2418" s="50"/>
    </row>
    <row r="2419" spans="1:7" ht="15.75" thickBot="1" x14ac:dyDescent="0.3">
      <c r="A2419" s="39"/>
      <c r="B2419" s="35" t="s">
        <v>33</v>
      </c>
      <c r="C2419" s="52">
        <f>IF(C2418="","",IF(AND(MONTH(C2418)&gt;=1,MONTH(C2418)&lt;=3),1,IF(AND(MONTH(C2418)&gt;=4,MONTH(C2418)&lt;=6),2,IF(AND(MONTH(C2418)&gt;=7,MONTH(C2418)&lt;=9),3,4))))</f>
        <v>4</v>
      </c>
      <c r="D2419" s="39"/>
      <c r="E2419" s="35" t="s">
        <v>34</v>
      </c>
      <c r="F2419" s="33" t="s">
        <v>35</v>
      </c>
      <c r="G2419" s="50"/>
    </row>
    <row r="2420" spans="1:7" ht="15.75" thickBot="1" x14ac:dyDescent="0.3">
      <c r="A2420" s="39"/>
      <c r="B2420" s="35" t="s">
        <v>36</v>
      </c>
      <c r="C2420" s="51">
        <v>45211</v>
      </c>
      <c r="D2420" s="39"/>
      <c r="E2420" s="35" t="s">
        <v>37</v>
      </c>
      <c r="F2420" s="33" t="s">
        <v>35</v>
      </c>
      <c r="G2420" s="50"/>
    </row>
    <row r="2421" spans="1:7" ht="15.75" thickBot="1" x14ac:dyDescent="0.3">
      <c r="A2421" s="39"/>
      <c r="B2421" s="35" t="s">
        <v>33</v>
      </c>
      <c r="C2421" s="52">
        <f>IF(C2420="","",IF(AND(MONTH(C2420)&gt;=1,MONTH(C2420)&lt;=3),1,IF(AND(MONTH(C2420)&gt;=4,MONTH(C2420)&lt;=6),2,IF(AND(MONTH(C2420)&gt;=7,MONTH(C2420)&lt;=9),3,4))))</f>
        <v>4</v>
      </c>
      <c r="D2421" s="39"/>
      <c r="E2421" s="35" t="s">
        <v>38</v>
      </c>
      <c r="F2421" s="33" t="s">
        <v>35</v>
      </c>
      <c r="G2421" s="50"/>
    </row>
    <row r="2422" spans="1:7" ht="15.75" thickBot="1" x14ac:dyDescent="0.3">
      <c r="A2422" s="50"/>
      <c r="B2422" s="50"/>
      <c r="C2422" s="50"/>
      <c r="D2422" s="50"/>
      <c r="E2422" s="50"/>
      <c r="F2422" s="50"/>
      <c r="G2422" s="50"/>
    </row>
    <row r="2423" spans="1:7" ht="15.75" thickBot="1" x14ac:dyDescent="0.3">
      <c r="A2423" s="41" t="s">
        <v>39</v>
      </c>
      <c r="B2423" s="41" t="s">
        <v>40</v>
      </c>
      <c r="C2423" s="41" t="s">
        <v>41</v>
      </c>
      <c r="D2423" s="41" t="s">
        <v>42</v>
      </c>
      <c r="E2423" s="41" t="s">
        <v>43</v>
      </c>
      <c r="F2423" s="41" t="s">
        <v>44</v>
      </c>
      <c r="G2423" s="50"/>
    </row>
    <row r="2424" spans="1:7" ht="33.75" x14ac:dyDescent="0.25">
      <c r="A2424" s="42">
        <v>80141803</v>
      </c>
      <c r="B2424" s="43" t="str">
        <f ca="1">IFERROR(INDEX(UNSPSCDes,MATCH(INDIRECT(ADDRESS(ROW(),COLUMN()-1,4)),UNSPSCCode,0)),"")</f>
        <v>Servicio de escritura de direcciones</v>
      </c>
      <c r="C2424" s="42" t="s">
        <v>46</v>
      </c>
      <c r="D2424" s="42">
        <v>500</v>
      </c>
      <c r="E2424" s="45">
        <v>1125</v>
      </c>
      <c r="F2424" s="46">
        <f ca="1">INDIRECT(ADDRESS(ROW(),COLUMN()-2,4))*INDIRECT(ADDRESS(ROW(),COLUMN()-1,4))</f>
        <v>562500</v>
      </c>
      <c r="G2424" s="50"/>
    </row>
    <row r="2425" spans="1:7" x14ac:dyDescent="0.25">
      <c r="A2425" s="50"/>
      <c r="B2425" s="50"/>
      <c r="C2425" s="50"/>
      <c r="D2425" s="50"/>
      <c r="E2425" s="54" t="s">
        <v>49</v>
      </c>
      <c r="F2425" s="49">
        <f ca="1">SUM(Table3163[MONTO TOTAL ESTIMADO])</f>
        <v>562500</v>
      </c>
      <c r="G2425" s="50"/>
    </row>
    <row r="2426" spans="1:7" ht="15.75" thickBot="1" x14ac:dyDescent="0.3">
      <c r="A2426" s="64"/>
      <c r="B2426" s="64"/>
      <c r="C2426" s="64"/>
      <c r="D2426" s="64"/>
      <c r="E2426" s="64"/>
      <c r="F2426" s="64"/>
      <c r="G2426" s="64"/>
    </row>
    <row r="2427" spans="1:7" ht="34.5" thickBot="1" x14ac:dyDescent="0.3">
      <c r="A2427" s="31" t="s">
        <v>18</v>
      </c>
      <c r="B2427" s="31" t="s">
        <v>19</v>
      </c>
      <c r="C2427" s="31" t="s">
        <v>20</v>
      </c>
      <c r="D2427" s="31" t="s">
        <v>21</v>
      </c>
      <c r="E2427" s="31" t="s">
        <v>22</v>
      </c>
      <c r="F2427" s="31" t="s">
        <v>23</v>
      </c>
      <c r="G2427" s="50"/>
    </row>
    <row r="2428" spans="1:7" ht="15.75" thickBot="1" x14ac:dyDescent="0.3">
      <c r="A2428" s="33" t="s">
        <v>152</v>
      </c>
      <c r="B2428" s="33" t="s">
        <v>153</v>
      </c>
      <c r="C2428" s="33" t="s">
        <v>74</v>
      </c>
      <c r="D2428" s="33" t="s">
        <v>52</v>
      </c>
      <c r="E2428" s="33" t="s">
        <v>53</v>
      </c>
      <c r="F2428" s="33"/>
      <c r="G2428" s="50"/>
    </row>
    <row r="2429" spans="1:7" ht="15.75" thickBot="1" x14ac:dyDescent="0.3">
      <c r="A2429" s="34" t="s">
        <v>28</v>
      </c>
      <c r="B2429" s="35" t="s">
        <v>29</v>
      </c>
      <c r="C2429" s="51">
        <v>45204</v>
      </c>
      <c r="D2429" s="34" t="s">
        <v>30</v>
      </c>
      <c r="E2429" s="35" t="s">
        <v>31</v>
      </c>
      <c r="F2429" s="33" t="s">
        <v>32</v>
      </c>
      <c r="G2429" s="50"/>
    </row>
    <row r="2430" spans="1:7" ht="15.75" thickBot="1" x14ac:dyDescent="0.3">
      <c r="A2430" s="39"/>
      <c r="B2430" s="35" t="s">
        <v>33</v>
      </c>
      <c r="C2430" s="52">
        <f>IF(C2429="","",IF(AND(MONTH(C2429)&gt;=1,MONTH(C2429)&lt;=3),1,IF(AND(MONTH(C2429)&gt;=4,MONTH(C2429)&lt;=6),2,IF(AND(MONTH(C2429)&gt;=7,MONTH(C2429)&lt;=9),3,4))))</f>
        <v>4</v>
      </c>
      <c r="D2430" s="39"/>
      <c r="E2430" s="35" t="s">
        <v>34</v>
      </c>
      <c r="F2430" s="33" t="s">
        <v>35</v>
      </c>
      <c r="G2430" s="50"/>
    </row>
    <row r="2431" spans="1:7" ht="15.75" thickBot="1" x14ac:dyDescent="0.3">
      <c r="A2431" s="39"/>
      <c r="B2431" s="35" t="s">
        <v>36</v>
      </c>
      <c r="C2431" s="51">
        <v>45213</v>
      </c>
      <c r="D2431" s="39"/>
      <c r="E2431" s="35" t="s">
        <v>37</v>
      </c>
      <c r="F2431" s="33" t="s">
        <v>35</v>
      </c>
      <c r="G2431" s="50"/>
    </row>
    <row r="2432" spans="1:7" ht="15.75" thickBot="1" x14ac:dyDescent="0.3">
      <c r="A2432" s="39"/>
      <c r="B2432" s="35" t="s">
        <v>33</v>
      </c>
      <c r="C2432" s="52">
        <f>IF(C2431="","",IF(AND(MONTH(C2431)&gt;=1,MONTH(C2431)&lt;=3),1,IF(AND(MONTH(C2431)&gt;=4,MONTH(C2431)&lt;=6),2,IF(AND(MONTH(C2431)&gt;=7,MONTH(C2431)&lt;=9),3,4))))</f>
        <v>4</v>
      </c>
      <c r="D2432" s="39"/>
      <c r="E2432" s="35" t="s">
        <v>38</v>
      </c>
      <c r="F2432" s="33" t="s">
        <v>35</v>
      </c>
      <c r="G2432" s="50"/>
    </row>
    <row r="2433" spans="1:7" ht="15.75" thickBot="1" x14ac:dyDescent="0.3">
      <c r="A2433" s="50"/>
      <c r="B2433" s="50"/>
      <c r="C2433" s="50"/>
      <c r="D2433" s="50"/>
      <c r="E2433" s="50"/>
      <c r="F2433" s="50"/>
      <c r="G2433" s="50"/>
    </row>
    <row r="2434" spans="1:7" ht="15.75" thickBot="1" x14ac:dyDescent="0.3">
      <c r="A2434" s="41" t="s">
        <v>39</v>
      </c>
      <c r="B2434" s="41" t="s">
        <v>40</v>
      </c>
      <c r="C2434" s="41" t="s">
        <v>41</v>
      </c>
      <c r="D2434" s="41" t="s">
        <v>42</v>
      </c>
      <c r="E2434" s="41" t="s">
        <v>43</v>
      </c>
      <c r="F2434" s="41" t="s">
        <v>44</v>
      </c>
      <c r="G2434" s="50"/>
    </row>
    <row r="2435" spans="1:7" ht="22.5" x14ac:dyDescent="0.25">
      <c r="A2435" s="42">
        <v>86101705</v>
      </c>
      <c r="B2435" s="43" t="str">
        <f ca="1">IFERROR(INDEX(UNSPSCDes,MATCH(INDIRECT(ADDRESS(ROW(),COLUMN()-1,4)),UNSPSCCode,0)),"")</f>
        <v>Capacitación administrativa</v>
      </c>
      <c r="C2435" s="42" t="s">
        <v>46</v>
      </c>
      <c r="D2435" s="42">
        <v>3</v>
      </c>
      <c r="E2435" s="45">
        <v>30000</v>
      </c>
      <c r="F2435" s="46">
        <f ca="1">INDIRECT(ADDRESS(ROW(),COLUMN()-2,4))*INDIRECT(ADDRESS(ROW(),COLUMN()-1,4))</f>
        <v>90000</v>
      </c>
      <c r="G2435" s="50"/>
    </row>
    <row r="2436" spans="1:7" x14ac:dyDescent="0.25">
      <c r="A2436" s="50"/>
      <c r="B2436" s="50"/>
      <c r="C2436" s="50"/>
      <c r="D2436" s="50"/>
      <c r="E2436" s="54" t="s">
        <v>49</v>
      </c>
      <c r="F2436" s="49">
        <f ca="1">SUM(Table3164[MONTO TOTAL ESTIMADO])</f>
        <v>90000</v>
      </c>
      <c r="G2436" s="50"/>
    </row>
    <row r="2437" spans="1:7" ht="15.75" thickBot="1" x14ac:dyDescent="0.3">
      <c r="A2437" s="64"/>
      <c r="B2437" s="64"/>
      <c r="C2437" s="64"/>
      <c r="D2437" s="64"/>
      <c r="E2437" s="64"/>
      <c r="F2437" s="64"/>
      <c r="G2437" s="64"/>
    </row>
    <row r="2438" spans="1:7" ht="34.5" thickBot="1" x14ac:dyDescent="0.3">
      <c r="A2438" s="31" t="s">
        <v>18</v>
      </c>
      <c r="B2438" s="31" t="s">
        <v>19</v>
      </c>
      <c r="C2438" s="31" t="s">
        <v>20</v>
      </c>
      <c r="D2438" s="31" t="s">
        <v>21</v>
      </c>
      <c r="E2438" s="31" t="s">
        <v>22</v>
      </c>
      <c r="F2438" s="31" t="s">
        <v>23</v>
      </c>
      <c r="G2438" s="50"/>
    </row>
    <row r="2439" spans="1:7" ht="15.75" thickBot="1" x14ac:dyDescent="0.3">
      <c r="A2439" s="33" t="s">
        <v>154</v>
      </c>
      <c r="B2439" s="33" t="s">
        <v>155</v>
      </c>
      <c r="C2439" s="33" t="s">
        <v>74</v>
      </c>
      <c r="D2439" s="33" t="s">
        <v>52</v>
      </c>
      <c r="E2439" s="33" t="s">
        <v>56</v>
      </c>
      <c r="F2439" s="33"/>
      <c r="G2439" s="50"/>
    </row>
    <row r="2440" spans="1:7" ht="15.75" thickBot="1" x14ac:dyDescent="0.3">
      <c r="A2440" s="34" t="s">
        <v>28</v>
      </c>
      <c r="B2440" s="35" t="s">
        <v>29</v>
      </c>
      <c r="C2440" s="51">
        <v>45141</v>
      </c>
      <c r="D2440" s="34" t="s">
        <v>30</v>
      </c>
      <c r="E2440" s="35" t="s">
        <v>31</v>
      </c>
      <c r="F2440" s="33" t="s">
        <v>32</v>
      </c>
      <c r="G2440" s="50"/>
    </row>
    <row r="2441" spans="1:7" ht="15.75" thickBot="1" x14ac:dyDescent="0.3">
      <c r="A2441" s="39"/>
      <c r="B2441" s="35" t="s">
        <v>33</v>
      </c>
      <c r="C2441" s="52">
        <f>IF(C2440="","",IF(AND(MONTH(C2440)&gt;=1,MONTH(C2440)&lt;=3),1,IF(AND(MONTH(C2440)&gt;=4,MONTH(C2440)&lt;=6),2,IF(AND(MONTH(C2440)&gt;=7,MONTH(C2440)&lt;=9),3,4))))</f>
        <v>3</v>
      </c>
      <c r="D2441" s="39"/>
      <c r="E2441" s="35" t="s">
        <v>34</v>
      </c>
      <c r="F2441" s="33" t="s">
        <v>35</v>
      </c>
      <c r="G2441" s="50"/>
    </row>
    <row r="2442" spans="1:7" ht="15.75" thickBot="1" x14ac:dyDescent="0.3">
      <c r="A2442" s="39"/>
      <c r="B2442" s="35" t="s">
        <v>36</v>
      </c>
      <c r="C2442" s="51">
        <v>45149</v>
      </c>
      <c r="D2442" s="39"/>
      <c r="E2442" s="35" t="s">
        <v>37</v>
      </c>
      <c r="F2442" s="33" t="s">
        <v>35</v>
      </c>
      <c r="G2442" s="50"/>
    </row>
    <row r="2443" spans="1:7" ht="15.75" thickBot="1" x14ac:dyDescent="0.3">
      <c r="A2443" s="39"/>
      <c r="B2443" s="35" t="s">
        <v>33</v>
      </c>
      <c r="C2443" s="52">
        <f>IF(C2442="","",IF(AND(MONTH(C2442)&gt;=1,MONTH(C2442)&lt;=3),1,IF(AND(MONTH(C2442)&gt;=4,MONTH(C2442)&lt;=6),2,IF(AND(MONTH(C2442)&gt;=7,MONTH(C2442)&lt;=9),3,4))))</f>
        <v>3</v>
      </c>
      <c r="D2443" s="39"/>
      <c r="E2443" s="35" t="s">
        <v>38</v>
      </c>
      <c r="F2443" s="33" t="s">
        <v>35</v>
      </c>
      <c r="G2443" s="50"/>
    </row>
    <row r="2444" spans="1:7" ht="15.75" thickBot="1" x14ac:dyDescent="0.3">
      <c r="A2444" s="50"/>
      <c r="B2444" s="50"/>
      <c r="C2444" s="50"/>
      <c r="D2444" s="50"/>
      <c r="E2444" s="50"/>
      <c r="F2444" s="50"/>
      <c r="G2444" s="50"/>
    </row>
    <row r="2445" spans="1:7" ht="15.75" thickBot="1" x14ac:dyDescent="0.3">
      <c r="A2445" s="41" t="s">
        <v>39</v>
      </c>
      <c r="B2445" s="41" t="s">
        <v>40</v>
      </c>
      <c r="C2445" s="41" t="s">
        <v>41</v>
      </c>
      <c r="D2445" s="41" t="s">
        <v>42</v>
      </c>
      <c r="E2445" s="41" t="s">
        <v>43</v>
      </c>
      <c r="F2445" s="41" t="s">
        <v>44</v>
      </c>
      <c r="G2445" s="50"/>
    </row>
    <row r="2446" spans="1:7" x14ac:dyDescent="0.25">
      <c r="A2446" s="42">
        <v>90111701</v>
      </c>
      <c r="B2446" s="43" t="str">
        <f ca="1">IFERROR(INDEX(UNSPSCDes,MATCH(INDIRECT(ADDRESS(ROW(),COLUMN()-1,4)),UNSPSCCode,0)),"")</f>
        <v>Campin</v>
      </c>
      <c r="C2446" s="42" t="s">
        <v>46</v>
      </c>
      <c r="D2446" s="42">
        <v>60</v>
      </c>
      <c r="E2446" s="45">
        <v>110</v>
      </c>
      <c r="F2446" s="46">
        <f ca="1">INDIRECT(ADDRESS(ROW(),COLUMN()-2,4))*INDIRECT(ADDRESS(ROW(),COLUMN()-1,4))</f>
        <v>6600</v>
      </c>
      <c r="G2446" s="50"/>
    </row>
    <row r="2447" spans="1:7" x14ac:dyDescent="0.25">
      <c r="A2447" s="50"/>
      <c r="B2447" s="50"/>
      <c r="C2447" s="50"/>
      <c r="D2447" s="50"/>
      <c r="E2447" s="54" t="s">
        <v>49</v>
      </c>
      <c r="F2447" s="49">
        <f ca="1">SUM(Table3165[MONTO TOTAL ESTIMADO])</f>
        <v>6600</v>
      </c>
      <c r="G2447" s="50"/>
    </row>
    <row r="2448" spans="1:7" ht="15.75" thickBot="1" x14ac:dyDescent="0.3">
      <c r="A2448" s="64"/>
      <c r="B2448" s="64"/>
      <c r="C2448" s="64"/>
      <c r="D2448" s="64"/>
      <c r="E2448" s="64"/>
      <c r="F2448" s="64"/>
      <c r="G2448" s="64"/>
    </row>
    <row r="2449" spans="1:7" ht="34.5" thickBot="1" x14ac:dyDescent="0.3">
      <c r="A2449" s="31" t="s">
        <v>18</v>
      </c>
      <c r="B2449" s="31" t="s">
        <v>19</v>
      </c>
      <c r="C2449" s="31" t="s">
        <v>20</v>
      </c>
      <c r="D2449" s="31" t="s">
        <v>21</v>
      </c>
      <c r="E2449" s="31" t="s">
        <v>22</v>
      </c>
      <c r="F2449" s="31" t="s">
        <v>23</v>
      </c>
      <c r="G2449" s="50"/>
    </row>
    <row r="2450" spans="1:7" ht="15.75" thickBot="1" x14ac:dyDescent="0.3">
      <c r="A2450" s="33" t="s">
        <v>156</v>
      </c>
      <c r="B2450" s="33" t="s">
        <v>157</v>
      </c>
      <c r="C2450" s="33" t="s">
        <v>74</v>
      </c>
      <c r="D2450" s="33" t="s">
        <v>52</v>
      </c>
      <c r="E2450" s="33" t="s">
        <v>53</v>
      </c>
      <c r="F2450" s="33"/>
      <c r="G2450" s="50"/>
    </row>
    <row r="2451" spans="1:7" ht="15.75" thickBot="1" x14ac:dyDescent="0.3">
      <c r="A2451" s="34" t="s">
        <v>28</v>
      </c>
      <c r="B2451" s="35" t="s">
        <v>29</v>
      </c>
      <c r="C2451" s="51">
        <v>45142</v>
      </c>
      <c r="D2451" s="34" t="s">
        <v>30</v>
      </c>
      <c r="E2451" s="35" t="s">
        <v>31</v>
      </c>
      <c r="F2451" s="33" t="s">
        <v>32</v>
      </c>
      <c r="G2451" s="50"/>
    </row>
    <row r="2452" spans="1:7" ht="15.75" thickBot="1" x14ac:dyDescent="0.3">
      <c r="A2452" s="39"/>
      <c r="B2452" s="35" t="s">
        <v>33</v>
      </c>
      <c r="C2452" s="52">
        <f>IF(C2451="","",IF(AND(MONTH(C2451)&gt;=1,MONTH(C2451)&lt;=3),1,IF(AND(MONTH(C2451)&gt;=4,MONTH(C2451)&lt;=6),2,IF(AND(MONTH(C2451)&gt;=7,MONTH(C2451)&lt;=9),3,4))))</f>
        <v>3</v>
      </c>
      <c r="D2452" s="39"/>
      <c r="E2452" s="35" t="s">
        <v>34</v>
      </c>
      <c r="F2452" s="33" t="s">
        <v>35</v>
      </c>
      <c r="G2452" s="50"/>
    </row>
    <row r="2453" spans="1:7" ht="15.75" thickBot="1" x14ac:dyDescent="0.3">
      <c r="A2453" s="39"/>
      <c r="B2453" s="35" t="s">
        <v>36</v>
      </c>
      <c r="C2453" s="51">
        <v>45151</v>
      </c>
      <c r="D2453" s="39"/>
      <c r="E2453" s="35" t="s">
        <v>37</v>
      </c>
      <c r="F2453" s="33" t="s">
        <v>35</v>
      </c>
      <c r="G2453" s="50"/>
    </row>
    <row r="2454" spans="1:7" ht="15.75" thickBot="1" x14ac:dyDescent="0.3">
      <c r="A2454" s="39"/>
      <c r="B2454" s="35" t="s">
        <v>33</v>
      </c>
      <c r="C2454" s="52">
        <f>IF(C2453="","",IF(AND(MONTH(C2453)&gt;=1,MONTH(C2453)&lt;=3),1,IF(AND(MONTH(C2453)&gt;=4,MONTH(C2453)&lt;=6),2,IF(AND(MONTH(C2453)&gt;=7,MONTH(C2453)&lt;=9),3,4))))</f>
        <v>3</v>
      </c>
      <c r="D2454" s="39"/>
      <c r="E2454" s="35" t="s">
        <v>38</v>
      </c>
      <c r="F2454" s="33" t="s">
        <v>35</v>
      </c>
      <c r="G2454" s="50"/>
    </row>
    <row r="2455" spans="1:7" ht="15.75" thickBot="1" x14ac:dyDescent="0.3">
      <c r="A2455" s="50"/>
      <c r="B2455" s="50"/>
      <c r="C2455" s="50"/>
      <c r="D2455" s="50"/>
      <c r="E2455" s="50"/>
      <c r="F2455" s="50"/>
      <c r="G2455" s="50"/>
    </row>
    <row r="2456" spans="1:7" ht="15.75" thickBot="1" x14ac:dyDescent="0.3">
      <c r="A2456" s="41" t="s">
        <v>39</v>
      </c>
      <c r="B2456" s="41" t="s">
        <v>40</v>
      </c>
      <c r="C2456" s="41" t="s">
        <v>41</v>
      </c>
      <c r="D2456" s="41" t="s">
        <v>42</v>
      </c>
      <c r="E2456" s="41" t="s">
        <v>43</v>
      </c>
      <c r="F2456" s="41" t="s">
        <v>44</v>
      </c>
      <c r="G2456" s="50"/>
    </row>
    <row r="2457" spans="1:7" ht="33.75" x14ac:dyDescent="0.25">
      <c r="A2457" s="42">
        <v>50192701</v>
      </c>
      <c r="B2457" s="43" t="str">
        <f ca="1">IFERROR(INDEX(UNSPSCDes,MATCH(INDIRECT(ADDRESS(ROW(),COLUMN()-1,4)),UNSPSCCode,0)),"")</f>
        <v>Comidas combinadas frescas</v>
      </c>
      <c r="C2457" s="42" t="s">
        <v>46</v>
      </c>
      <c r="D2457" s="42">
        <v>65</v>
      </c>
      <c r="E2457" s="45">
        <v>250</v>
      </c>
      <c r="F2457" s="46">
        <f ca="1">INDIRECT(ADDRESS(ROW(),COLUMN()-2,4))*INDIRECT(ADDRESS(ROW(),COLUMN()-1,4))</f>
        <v>16250</v>
      </c>
      <c r="G2457" s="50"/>
    </row>
    <row r="2458" spans="1:7" x14ac:dyDescent="0.25">
      <c r="A2458" s="50"/>
      <c r="B2458" s="50"/>
      <c r="C2458" s="50"/>
      <c r="D2458" s="50"/>
      <c r="E2458" s="54" t="s">
        <v>49</v>
      </c>
      <c r="F2458" s="49">
        <f ca="1">SUM(Table3166[MONTO TOTAL ESTIMADO])</f>
        <v>16250</v>
      </c>
      <c r="G2458" s="50"/>
    </row>
    <row r="2459" spans="1:7" ht="15.75" thickBot="1" x14ac:dyDescent="0.3">
      <c r="A2459" s="64"/>
      <c r="B2459" s="64"/>
      <c r="C2459" s="64"/>
      <c r="D2459" s="64"/>
      <c r="E2459" s="64"/>
      <c r="F2459" s="64"/>
      <c r="G2459" s="64"/>
    </row>
    <row r="2460" spans="1:7" ht="34.5" thickBot="1" x14ac:dyDescent="0.3">
      <c r="A2460" s="31" t="s">
        <v>18</v>
      </c>
      <c r="B2460" s="31" t="s">
        <v>19</v>
      </c>
      <c r="C2460" s="31" t="s">
        <v>20</v>
      </c>
      <c r="D2460" s="31" t="s">
        <v>21</v>
      </c>
      <c r="E2460" s="31" t="s">
        <v>22</v>
      </c>
      <c r="F2460" s="31" t="s">
        <v>23</v>
      </c>
      <c r="G2460" s="50"/>
    </row>
    <row r="2461" spans="1:7" ht="15.75" thickBot="1" x14ac:dyDescent="0.3">
      <c r="A2461" s="33" t="s">
        <v>147</v>
      </c>
      <c r="B2461" s="33" t="s">
        <v>148</v>
      </c>
      <c r="C2461" s="33" t="s">
        <v>134</v>
      </c>
      <c r="D2461" s="33" t="s">
        <v>27</v>
      </c>
      <c r="E2461" s="33" t="s">
        <v>56</v>
      </c>
      <c r="F2461" s="33"/>
      <c r="G2461" s="50"/>
    </row>
    <row r="2462" spans="1:7" ht="15.75" thickBot="1" x14ac:dyDescent="0.3">
      <c r="A2462" s="34" t="s">
        <v>28</v>
      </c>
      <c r="B2462" s="35" t="s">
        <v>29</v>
      </c>
      <c r="C2462" s="51">
        <v>45173</v>
      </c>
      <c r="D2462" s="34" t="s">
        <v>30</v>
      </c>
      <c r="E2462" s="35" t="s">
        <v>31</v>
      </c>
      <c r="F2462" s="33" t="s">
        <v>32</v>
      </c>
      <c r="G2462" s="50"/>
    </row>
    <row r="2463" spans="1:7" ht="15.75" thickBot="1" x14ac:dyDescent="0.3">
      <c r="A2463" s="39"/>
      <c r="B2463" s="35" t="s">
        <v>33</v>
      </c>
      <c r="C2463" s="52">
        <f>IF(C2462="","",IF(AND(MONTH(C2462)&gt;=1,MONTH(C2462)&lt;=3),1,IF(AND(MONTH(C2462)&gt;=4,MONTH(C2462)&lt;=6),2,IF(AND(MONTH(C2462)&gt;=7,MONTH(C2462)&lt;=9),3,4))))</f>
        <v>3</v>
      </c>
      <c r="D2463" s="39"/>
      <c r="E2463" s="35" t="s">
        <v>34</v>
      </c>
      <c r="F2463" s="33" t="s">
        <v>35</v>
      </c>
      <c r="G2463" s="50"/>
    </row>
    <row r="2464" spans="1:7" ht="15.75" thickBot="1" x14ac:dyDescent="0.3">
      <c r="A2464" s="39"/>
      <c r="B2464" s="35" t="s">
        <v>36</v>
      </c>
      <c r="C2464" s="51">
        <v>45182</v>
      </c>
      <c r="D2464" s="39"/>
      <c r="E2464" s="35" t="s">
        <v>37</v>
      </c>
      <c r="F2464" s="33" t="s">
        <v>35</v>
      </c>
      <c r="G2464" s="50"/>
    </row>
    <row r="2465" spans="1:7" ht="15.75" thickBot="1" x14ac:dyDescent="0.3">
      <c r="A2465" s="39"/>
      <c r="B2465" s="35" t="s">
        <v>33</v>
      </c>
      <c r="C2465" s="52">
        <f>IF(C2464="","",IF(AND(MONTH(C2464)&gt;=1,MONTH(C2464)&lt;=3),1,IF(AND(MONTH(C2464)&gt;=4,MONTH(C2464)&lt;=6),2,IF(AND(MONTH(C2464)&gt;=7,MONTH(C2464)&lt;=9),3,4))))</f>
        <v>3</v>
      </c>
      <c r="D2465" s="39"/>
      <c r="E2465" s="35" t="s">
        <v>38</v>
      </c>
      <c r="F2465" s="33" t="s">
        <v>35</v>
      </c>
      <c r="G2465" s="50"/>
    </row>
    <row r="2466" spans="1:7" ht="15.75" thickBot="1" x14ac:dyDescent="0.3">
      <c r="A2466" s="50"/>
      <c r="B2466" s="50"/>
      <c r="C2466" s="50"/>
      <c r="D2466" s="50"/>
      <c r="E2466" s="50"/>
      <c r="F2466" s="50"/>
      <c r="G2466" s="50"/>
    </row>
    <row r="2467" spans="1:7" ht="15.75" thickBot="1" x14ac:dyDescent="0.3">
      <c r="A2467" s="41" t="s">
        <v>39</v>
      </c>
      <c r="B2467" s="41" t="s">
        <v>40</v>
      </c>
      <c r="C2467" s="41" t="s">
        <v>41</v>
      </c>
      <c r="D2467" s="41" t="s">
        <v>42</v>
      </c>
      <c r="E2467" s="41" t="s">
        <v>43</v>
      </c>
      <c r="F2467" s="41" t="s">
        <v>44</v>
      </c>
      <c r="G2467" s="50"/>
    </row>
    <row r="2468" spans="1:7" ht="45" x14ac:dyDescent="0.25">
      <c r="A2468" s="42">
        <v>80101505</v>
      </c>
      <c r="B2468" s="43" t="str">
        <f ca="1">IFERROR(INDEX(UNSPSCDes,MATCH(INDIRECT(ADDRESS(ROW(),COLUMN()-1,4)),UNSPSCCode,0)),"")</f>
        <v>Desarrollo de políticas u objetivos empresariales</v>
      </c>
      <c r="C2468" s="42" t="s">
        <v>46</v>
      </c>
      <c r="D2468" s="42">
        <v>1</v>
      </c>
      <c r="E2468" s="45">
        <v>900000</v>
      </c>
      <c r="F2468" s="46">
        <f ca="1">INDIRECT(ADDRESS(ROW(),COLUMN()-2,4))*INDIRECT(ADDRESS(ROW(),COLUMN()-1,4))</f>
        <v>900000</v>
      </c>
      <c r="G2468" s="50"/>
    </row>
    <row r="2469" spans="1:7" x14ac:dyDescent="0.25">
      <c r="A2469" s="50"/>
      <c r="B2469" s="50"/>
      <c r="C2469" s="50"/>
      <c r="D2469" s="50"/>
      <c r="E2469" s="54" t="s">
        <v>49</v>
      </c>
      <c r="F2469" s="49">
        <f ca="1">SUM(Table3167[MONTO TOTAL ESTIMADO])</f>
        <v>900000</v>
      </c>
      <c r="G2469" s="50"/>
    </row>
    <row r="2470" spans="1:7" ht="15.75" thickBot="1" x14ac:dyDescent="0.3">
      <c r="A2470" s="64"/>
      <c r="B2470" s="64"/>
      <c r="C2470" s="64"/>
      <c r="D2470" s="64"/>
      <c r="E2470" s="64"/>
      <c r="F2470" s="64"/>
      <c r="G2470" s="64"/>
    </row>
    <row r="2471" spans="1:7" ht="34.5" thickBot="1" x14ac:dyDescent="0.3">
      <c r="A2471" s="31" t="s">
        <v>18</v>
      </c>
      <c r="B2471" s="31" t="s">
        <v>19</v>
      </c>
      <c r="C2471" s="31" t="s">
        <v>20</v>
      </c>
      <c r="D2471" s="31" t="s">
        <v>21</v>
      </c>
      <c r="E2471" s="31" t="s">
        <v>22</v>
      </c>
      <c r="F2471" s="31" t="s">
        <v>23</v>
      </c>
      <c r="G2471" s="50"/>
    </row>
    <row r="2472" spans="1:7" ht="15.75" thickBot="1" x14ac:dyDescent="0.3">
      <c r="A2472" s="33" t="s">
        <v>147</v>
      </c>
      <c r="B2472" s="33" t="s">
        <v>148</v>
      </c>
      <c r="C2472" s="33" t="s">
        <v>134</v>
      </c>
      <c r="D2472" s="33" t="s">
        <v>27</v>
      </c>
      <c r="E2472" s="33" t="s">
        <v>56</v>
      </c>
      <c r="F2472" s="33"/>
      <c r="G2472" s="50"/>
    </row>
    <row r="2473" spans="1:7" ht="15.75" thickBot="1" x14ac:dyDescent="0.3">
      <c r="A2473" s="34" t="s">
        <v>28</v>
      </c>
      <c r="B2473" s="35" t="s">
        <v>29</v>
      </c>
      <c r="C2473" s="51">
        <v>44987</v>
      </c>
      <c r="D2473" s="34" t="s">
        <v>30</v>
      </c>
      <c r="E2473" s="35" t="s">
        <v>31</v>
      </c>
      <c r="F2473" s="33" t="s">
        <v>32</v>
      </c>
      <c r="G2473" s="50"/>
    </row>
    <row r="2474" spans="1:7" ht="15.75" thickBot="1" x14ac:dyDescent="0.3">
      <c r="A2474" s="39"/>
      <c r="B2474" s="35" t="s">
        <v>33</v>
      </c>
      <c r="C2474" s="52">
        <f>IF(C2473="","",IF(AND(MONTH(C2473)&gt;=1,MONTH(C2473)&lt;=3),1,IF(AND(MONTH(C2473)&gt;=4,MONTH(C2473)&lt;=6),2,IF(AND(MONTH(C2473)&gt;=7,MONTH(C2473)&lt;=9),3,4))))</f>
        <v>1</v>
      </c>
      <c r="D2474" s="39"/>
      <c r="E2474" s="35" t="s">
        <v>34</v>
      </c>
      <c r="F2474" s="33" t="s">
        <v>35</v>
      </c>
      <c r="G2474" s="50"/>
    </row>
    <row r="2475" spans="1:7" ht="15.75" thickBot="1" x14ac:dyDescent="0.3">
      <c r="A2475" s="39"/>
      <c r="B2475" s="35" t="s">
        <v>36</v>
      </c>
      <c r="C2475" s="51">
        <v>44995</v>
      </c>
      <c r="D2475" s="39"/>
      <c r="E2475" s="35" t="s">
        <v>37</v>
      </c>
      <c r="F2475" s="33" t="s">
        <v>35</v>
      </c>
      <c r="G2475" s="50"/>
    </row>
    <row r="2476" spans="1:7" ht="15.75" thickBot="1" x14ac:dyDescent="0.3">
      <c r="A2476" s="39"/>
      <c r="B2476" s="35" t="s">
        <v>33</v>
      </c>
      <c r="C2476" s="52">
        <f>IF(C2475="","",IF(AND(MONTH(C2475)&gt;=1,MONTH(C2475)&lt;=3),1,IF(AND(MONTH(C2475)&gt;=4,MONTH(C2475)&lt;=6),2,IF(AND(MONTH(C2475)&gt;=7,MONTH(C2475)&lt;=9),3,4))))</f>
        <v>1</v>
      </c>
      <c r="D2476" s="39"/>
      <c r="E2476" s="35" t="s">
        <v>38</v>
      </c>
      <c r="F2476" s="33" t="s">
        <v>35</v>
      </c>
      <c r="G2476" s="50"/>
    </row>
    <row r="2477" spans="1:7" ht="15.75" thickBot="1" x14ac:dyDescent="0.3">
      <c r="A2477" s="50"/>
      <c r="B2477" s="50"/>
      <c r="C2477" s="50"/>
      <c r="D2477" s="50"/>
      <c r="E2477" s="50"/>
      <c r="F2477" s="50"/>
      <c r="G2477" s="50"/>
    </row>
    <row r="2478" spans="1:7" ht="15.75" thickBot="1" x14ac:dyDescent="0.3">
      <c r="A2478" s="41" t="s">
        <v>39</v>
      </c>
      <c r="B2478" s="41" t="s">
        <v>40</v>
      </c>
      <c r="C2478" s="41" t="s">
        <v>41</v>
      </c>
      <c r="D2478" s="41" t="s">
        <v>42</v>
      </c>
      <c r="E2478" s="41" t="s">
        <v>43</v>
      </c>
      <c r="F2478" s="41" t="s">
        <v>44</v>
      </c>
      <c r="G2478" s="50"/>
    </row>
    <row r="2479" spans="1:7" ht="33.75" x14ac:dyDescent="0.25">
      <c r="A2479" s="42">
        <v>80141803</v>
      </c>
      <c r="B2479" s="43" t="str">
        <f ca="1">IFERROR(INDEX(UNSPSCDes,MATCH(INDIRECT(ADDRESS(ROW(),COLUMN()-1,4)),UNSPSCCode,0)),"")</f>
        <v>Servicio de escritura de direcciones</v>
      </c>
      <c r="C2479" s="42" t="s">
        <v>46</v>
      </c>
      <c r="D2479" s="42">
        <v>1</v>
      </c>
      <c r="E2479" s="45">
        <v>436400</v>
      </c>
      <c r="F2479" s="46">
        <f ca="1">INDIRECT(ADDRESS(ROW(),COLUMN()-2,4))*INDIRECT(ADDRESS(ROW(),COLUMN()-1,4))</f>
        <v>436400</v>
      </c>
      <c r="G2479" s="50"/>
    </row>
    <row r="2480" spans="1:7" x14ac:dyDescent="0.25">
      <c r="A2480" s="50"/>
      <c r="B2480" s="50"/>
      <c r="C2480" s="50"/>
      <c r="D2480" s="50"/>
      <c r="E2480" s="54" t="s">
        <v>49</v>
      </c>
      <c r="F2480" s="49">
        <f ca="1">SUM(Table3168[MONTO TOTAL ESTIMADO])</f>
        <v>436400</v>
      </c>
      <c r="G2480" s="50"/>
    </row>
    <row r="2481" spans="1:7" ht="15.75" thickBot="1" x14ac:dyDescent="0.3">
      <c r="A2481" s="64"/>
      <c r="B2481" s="64"/>
      <c r="C2481" s="64"/>
      <c r="D2481" s="64"/>
      <c r="E2481" s="64"/>
      <c r="F2481" s="64"/>
      <c r="G2481" s="64"/>
    </row>
    <row r="2482" spans="1:7" ht="34.5" thickBot="1" x14ac:dyDescent="0.3">
      <c r="A2482" s="31" t="s">
        <v>18</v>
      </c>
      <c r="B2482" s="31" t="s">
        <v>19</v>
      </c>
      <c r="C2482" s="31" t="s">
        <v>20</v>
      </c>
      <c r="D2482" s="31" t="s">
        <v>21</v>
      </c>
      <c r="E2482" s="31" t="s">
        <v>22</v>
      </c>
      <c r="F2482" s="31" t="s">
        <v>23</v>
      </c>
      <c r="G2482" s="50"/>
    </row>
    <row r="2483" spans="1:7" ht="15.75" thickBot="1" x14ac:dyDescent="0.3">
      <c r="A2483" s="33" t="s">
        <v>147</v>
      </c>
      <c r="B2483" s="33" t="s">
        <v>148</v>
      </c>
      <c r="C2483" s="33" t="s">
        <v>134</v>
      </c>
      <c r="D2483" s="33" t="s">
        <v>27</v>
      </c>
      <c r="E2483" s="33" t="s">
        <v>56</v>
      </c>
      <c r="F2483" s="33"/>
      <c r="G2483" s="50"/>
    </row>
    <row r="2484" spans="1:7" ht="15.75" thickBot="1" x14ac:dyDescent="0.3">
      <c r="A2484" s="34" t="s">
        <v>28</v>
      </c>
      <c r="B2484" s="35" t="s">
        <v>29</v>
      </c>
      <c r="C2484" s="51">
        <v>45019</v>
      </c>
      <c r="D2484" s="34" t="s">
        <v>30</v>
      </c>
      <c r="E2484" s="35" t="s">
        <v>31</v>
      </c>
      <c r="F2484" s="33" t="s">
        <v>32</v>
      </c>
      <c r="G2484" s="50"/>
    </row>
    <row r="2485" spans="1:7" ht="15.75" thickBot="1" x14ac:dyDescent="0.3">
      <c r="A2485" s="39"/>
      <c r="B2485" s="35" t="s">
        <v>33</v>
      </c>
      <c r="C2485" s="52">
        <f>IF(C2484="","",IF(AND(MONTH(C2484)&gt;=1,MONTH(C2484)&lt;=3),1,IF(AND(MONTH(C2484)&gt;=4,MONTH(C2484)&lt;=6),2,IF(AND(MONTH(C2484)&gt;=7,MONTH(C2484)&lt;=9),3,4))))</f>
        <v>2</v>
      </c>
      <c r="D2485" s="39"/>
      <c r="E2485" s="35" t="s">
        <v>34</v>
      </c>
      <c r="F2485" s="33" t="s">
        <v>35</v>
      </c>
      <c r="G2485" s="50"/>
    </row>
    <row r="2486" spans="1:7" ht="15.75" thickBot="1" x14ac:dyDescent="0.3">
      <c r="A2486" s="39"/>
      <c r="B2486" s="35" t="s">
        <v>36</v>
      </c>
      <c r="C2486" s="51">
        <v>45028</v>
      </c>
      <c r="D2486" s="39"/>
      <c r="E2486" s="35" t="s">
        <v>37</v>
      </c>
      <c r="F2486" s="33" t="s">
        <v>35</v>
      </c>
      <c r="G2486" s="50"/>
    </row>
    <row r="2487" spans="1:7" ht="15.75" thickBot="1" x14ac:dyDescent="0.3">
      <c r="A2487" s="39"/>
      <c r="B2487" s="35" t="s">
        <v>33</v>
      </c>
      <c r="C2487" s="52">
        <f>IF(C2486="","",IF(AND(MONTH(C2486)&gt;=1,MONTH(C2486)&lt;=3),1,IF(AND(MONTH(C2486)&gt;=4,MONTH(C2486)&lt;=6),2,IF(AND(MONTH(C2486)&gt;=7,MONTH(C2486)&lt;=9),3,4))))</f>
        <v>2</v>
      </c>
      <c r="D2487" s="39"/>
      <c r="E2487" s="35" t="s">
        <v>38</v>
      </c>
      <c r="F2487" s="33" t="s">
        <v>35</v>
      </c>
      <c r="G2487" s="50"/>
    </row>
    <row r="2488" spans="1:7" ht="15.75" thickBot="1" x14ac:dyDescent="0.3">
      <c r="A2488" s="50"/>
      <c r="B2488" s="50"/>
      <c r="C2488" s="50"/>
      <c r="D2488" s="50"/>
      <c r="E2488" s="50"/>
      <c r="F2488" s="50"/>
      <c r="G2488" s="50"/>
    </row>
    <row r="2489" spans="1:7" ht="15.75" thickBot="1" x14ac:dyDescent="0.3">
      <c r="A2489" s="41" t="s">
        <v>39</v>
      </c>
      <c r="B2489" s="41" t="s">
        <v>40</v>
      </c>
      <c r="C2489" s="41" t="s">
        <v>41</v>
      </c>
      <c r="D2489" s="41" t="s">
        <v>42</v>
      </c>
      <c r="E2489" s="41" t="s">
        <v>43</v>
      </c>
      <c r="F2489" s="41" t="s">
        <v>44</v>
      </c>
      <c r="G2489" s="50"/>
    </row>
    <row r="2490" spans="1:7" ht="33.75" x14ac:dyDescent="0.25">
      <c r="A2490" s="42">
        <v>80141803</v>
      </c>
      <c r="B2490" s="43" t="str">
        <f ca="1">IFERROR(INDEX(UNSPSCDes,MATCH(INDIRECT(ADDRESS(ROW(),COLUMN()-1,4)),UNSPSCCode,0)),"")</f>
        <v>Servicio de escritura de direcciones</v>
      </c>
      <c r="C2490" s="42" t="s">
        <v>46</v>
      </c>
      <c r="D2490" s="42">
        <v>1</v>
      </c>
      <c r="E2490" s="45">
        <v>436400</v>
      </c>
      <c r="F2490" s="46">
        <f ca="1">INDIRECT(ADDRESS(ROW(),COLUMN()-2,4))*INDIRECT(ADDRESS(ROW(),COLUMN()-1,4))</f>
        <v>436400</v>
      </c>
      <c r="G2490" s="50"/>
    </row>
    <row r="2491" spans="1:7" x14ac:dyDescent="0.25">
      <c r="A2491" s="50"/>
      <c r="B2491" s="50"/>
      <c r="C2491" s="50"/>
      <c r="D2491" s="50"/>
      <c r="E2491" s="54" t="s">
        <v>49</v>
      </c>
      <c r="F2491" s="49">
        <f ca="1">SUM(Table3169[MONTO TOTAL ESTIMADO])</f>
        <v>436400</v>
      </c>
      <c r="G2491" s="50"/>
    </row>
    <row r="2492" spans="1:7" ht="15.75" thickBot="1" x14ac:dyDescent="0.3">
      <c r="A2492" s="64"/>
      <c r="B2492" s="64"/>
      <c r="C2492" s="64"/>
      <c r="D2492" s="64"/>
      <c r="E2492" s="64"/>
      <c r="F2492" s="64"/>
      <c r="G2492" s="64"/>
    </row>
    <row r="2493" spans="1:7" ht="34.5" thickBot="1" x14ac:dyDescent="0.3">
      <c r="A2493" s="31" t="s">
        <v>18</v>
      </c>
      <c r="B2493" s="31" t="s">
        <v>19</v>
      </c>
      <c r="C2493" s="31" t="s">
        <v>20</v>
      </c>
      <c r="D2493" s="31" t="s">
        <v>21</v>
      </c>
      <c r="E2493" s="31" t="s">
        <v>22</v>
      </c>
      <c r="F2493" s="31" t="s">
        <v>23</v>
      </c>
      <c r="G2493" s="50"/>
    </row>
    <row r="2494" spans="1:7" ht="15.75" thickBot="1" x14ac:dyDescent="0.3">
      <c r="A2494" s="33" t="s">
        <v>147</v>
      </c>
      <c r="B2494" s="33" t="s">
        <v>148</v>
      </c>
      <c r="C2494" s="33" t="s">
        <v>134</v>
      </c>
      <c r="D2494" s="33" t="s">
        <v>27</v>
      </c>
      <c r="E2494" s="33" t="s">
        <v>56</v>
      </c>
      <c r="F2494" s="33"/>
      <c r="G2494" s="50"/>
    </row>
    <row r="2495" spans="1:7" ht="15.75" thickBot="1" x14ac:dyDescent="0.3">
      <c r="A2495" s="34" t="s">
        <v>28</v>
      </c>
      <c r="B2495" s="35" t="s">
        <v>29</v>
      </c>
      <c r="C2495" s="51">
        <v>45050</v>
      </c>
      <c r="D2495" s="34" t="s">
        <v>30</v>
      </c>
      <c r="E2495" s="35" t="s">
        <v>31</v>
      </c>
      <c r="F2495" s="33" t="s">
        <v>32</v>
      </c>
      <c r="G2495" s="50"/>
    </row>
    <row r="2496" spans="1:7" ht="15.75" thickBot="1" x14ac:dyDescent="0.3">
      <c r="A2496" s="39"/>
      <c r="B2496" s="35" t="s">
        <v>33</v>
      </c>
      <c r="C2496" s="52">
        <f>IF(C2495="","",IF(AND(MONTH(C2495)&gt;=1,MONTH(C2495)&lt;=3),1,IF(AND(MONTH(C2495)&gt;=4,MONTH(C2495)&lt;=6),2,IF(AND(MONTH(C2495)&gt;=7,MONTH(C2495)&lt;=9),3,4))))</f>
        <v>2</v>
      </c>
      <c r="D2496" s="39"/>
      <c r="E2496" s="35" t="s">
        <v>34</v>
      </c>
      <c r="F2496" s="33" t="s">
        <v>35</v>
      </c>
      <c r="G2496" s="50"/>
    </row>
    <row r="2497" spans="1:7" ht="15.75" thickBot="1" x14ac:dyDescent="0.3">
      <c r="A2497" s="39"/>
      <c r="B2497" s="35" t="s">
        <v>36</v>
      </c>
      <c r="C2497" s="51">
        <v>45058</v>
      </c>
      <c r="D2497" s="39"/>
      <c r="E2497" s="35" t="s">
        <v>37</v>
      </c>
      <c r="F2497" s="33" t="s">
        <v>35</v>
      </c>
      <c r="G2497" s="50"/>
    </row>
    <row r="2498" spans="1:7" ht="15.75" thickBot="1" x14ac:dyDescent="0.3">
      <c r="A2498" s="39"/>
      <c r="B2498" s="35" t="s">
        <v>33</v>
      </c>
      <c r="C2498" s="52">
        <f>IF(C2497="","",IF(AND(MONTH(C2497)&gt;=1,MONTH(C2497)&lt;=3),1,IF(AND(MONTH(C2497)&gt;=4,MONTH(C2497)&lt;=6),2,IF(AND(MONTH(C2497)&gt;=7,MONTH(C2497)&lt;=9),3,4))))</f>
        <v>2</v>
      </c>
      <c r="D2498" s="39"/>
      <c r="E2498" s="35" t="s">
        <v>38</v>
      </c>
      <c r="F2498" s="33" t="s">
        <v>35</v>
      </c>
      <c r="G2498" s="50"/>
    </row>
    <row r="2499" spans="1:7" ht="15.75" thickBot="1" x14ac:dyDescent="0.3">
      <c r="A2499" s="50"/>
      <c r="B2499" s="50"/>
      <c r="C2499" s="50"/>
      <c r="D2499" s="50"/>
      <c r="E2499" s="50"/>
      <c r="F2499" s="50"/>
      <c r="G2499" s="50"/>
    </row>
    <row r="2500" spans="1:7" ht="15.75" thickBot="1" x14ac:dyDescent="0.3">
      <c r="A2500" s="41" t="s">
        <v>39</v>
      </c>
      <c r="B2500" s="41" t="s">
        <v>40</v>
      </c>
      <c r="C2500" s="41" t="s">
        <v>41</v>
      </c>
      <c r="D2500" s="41" t="s">
        <v>42</v>
      </c>
      <c r="E2500" s="41" t="s">
        <v>43</v>
      </c>
      <c r="F2500" s="41" t="s">
        <v>44</v>
      </c>
      <c r="G2500" s="50"/>
    </row>
    <row r="2501" spans="1:7" ht="33.75" x14ac:dyDescent="0.25">
      <c r="A2501" s="42">
        <v>80141803</v>
      </c>
      <c r="B2501" s="43" t="str">
        <f ca="1">IFERROR(INDEX(UNSPSCDes,MATCH(INDIRECT(ADDRESS(ROW(),COLUMN()-1,4)),UNSPSCCode,0)),"")</f>
        <v>Servicio de escritura de direcciones</v>
      </c>
      <c r="C2501" s="42" t="s">
        <v>46</v>
      </c>
      <c r="D2501" s="42">
        <v>1</v>
      </c>
      <c r="E2501" s="45">
        <v>436400</v>
      </c>
      <c r="F2501" s="46">
        <f ca="1">INDIRECT(ADDRESS(ROW(),COLUMN()-2,4))*INDIRECT(ADDRESS(ROW(),COLUMN()-1,4))</f>
        <v>436400</v>
      </c>
      <c r="G2501" s="50"/>
    </row>
    <row r="2502" spans="1:7" x14ac:dyDescent="0.25">
      <c r="A2502" s="50"/>
      <c r="B2502" s="50"/>
      <c r="C2502" s="50"/>
      <c r="D2502" s="50"/>
      <c r="E2502" s="54" t="s">
        <v>49</v>
      </c>
      <c r="F2502" s="49">
        <f ca="1">SUM(Table3170[MONTO TOTAL ESTIMADO])</f>
        <v>436400</v>
      </c>
      <c r="G2502" s="50"/>
    </row>
    <row r="2503" spans="1:7" ht="15.75" thickBot="1" x14ac:dyDescent="0.3">
      <c r="A2503" s="64"/>
      <c r="B2503" s="64"/>
      <c r="C2503" s="64"/>
      <c r="D2503" s="64"/>
      <c r="E2503" s="64"/>
      <c r="F2503" s="64"/>
      <c r="G2503" s="64"/>
    </row>
    <row r="2504" spans="1:7" ht="34.5" thickBot="1" x14ac:dyDescent="0.3">
      <c r="A2504" s="31" t="s">
        <v>18</v>
      </c>
      <c r="B2504" s="31" t="s">
        <v>19</v>
      </c>
      <c r="C2504" s="31" t="s">
        <v>20</v>
      </c>
      <c r="D2504" s="31" t="s">
        <v>21</v>
      </c>
      <c r="E2504" s="31" t="s">
        <v>22</v>
      </c>
      <c r="F2504" s="31" t="s">
        <v>23</v>
      </c>
      <c r="G2504" s="50"/>
    </row>
    <row r="2505" spans="1:7" ht="15.75" thickBot="1" x14ac:dyDescent="0.3">
      <c r="A2505" s="33" t="s">
        <v>147</v>
      </c>
      <c r="B2505" s="33" t="s">
        <v>148</v>
      </c>
      <c r="C2505" s="33" t="s">
        <v>134</v>
      </c>
      <c r="D2505" s="33" t="s">
        <v>27</v>
      </c>
      <c r="E2505" s="33" t="s">
        <v>56</v>
      </c>
      <c r="F2505" s="33"/>
      <c r="G2505" s="50"/>
    </row>
    <row r="2506" spans="1:7" ht="15.75" thickBot="1" x14ac:dyDescent="0.3">
      <c r="A2506" s="34" t="s">
        <v>28</v>
      </c>
      <c r="B2506" s="35" t="s">
        <v>29</v>
      </c>
      <c r="C2506" s="51">
        <v>45080</v>
      </c>
      <c r="D2506" s="34" t="s">
        <v>30</v>
      </c>
      <c r="E2506" s="35" t="s">
        <v>31</v>
      </c>
      <c r="F2506" s="33" t="s">
        <v>32</v>
      </c>
      <c r="G2506" s="50"/>
    </row>
    <row r="2507" spans="1:7" ht="15.75" thickBot="1" x14ac:dyDescent="0.3">
      <c r="A2507" s="39"/>
      <c r="B2507" s="35" t="s">
        <v>33</v>
      </c>
      <c r="C2507" s="52">
        <f>IF(C2506="","",IF(AND(MONTH(C2506)&gt;=1,MONTH(C2506)&lt;=3),1,IF(AND(MONTH(C2506)&gt;=4,MONTH(C2506)&lt;=6),2,IF(AND(MONTH(C2506)&gt;=7,MONTH(C2506)&lt;=9),3,4))))</f>
        <v>2</v>
      </c>
      <c r="D2507" s="39"/>
      <c r="E2507" s="35" t="s">
        <v>34</v>
      </c>
      <c r="F2507" s="33" t="s">
        <v>35</v>
      </c>
      <c r="G2507" s="50"/>
    </row>
    <row r="2508" spans="1:7" ht="15.75" thickBot="1" x14ac:dyDescent="0.3">
      <c r="A2508" s="39"/>
      <c r="B2508" s="35" t="s">
        <v>36</v>
      </c>
      <c r="C2508" s="51">
        <v>45090</v>
      </c>
      <c r="D2508" s="39"/>
      <c r="E2508" s="35" t="s">
        <v>37</v>
      </c>
      <c r="F2508" s="33" t="s">
        <v>35</v>
      </c>
      <c r="G2508" s="50"/>
    </row>
    <row r="2509" spans="1:7" ht="15.75" thickBot="1" x14ac:dyDescent="0.3">
      <c r="A2509" s="39"/>
      <c r="B2509" s="35" t="s">
        <v>33</v>
      </c>
      <c r="C2509" s="52">
        <f>IF(C2508="","",IF(AND(MONTH(C2508)&gt;=1,MONTH(C2508)&lt;=3),1,IF(AND(MONTH(C2508)&gt;=4,MONTH(C2508)&lt;=6),2,IF(AND(MONTH(C2508)&gt;=7,MONTH(C2508)&lt;=9),3,4))))</f>
        <v>2</v>
      </c>
      <c r="D2509" s="39"/>
      <c r="E2509" s="35" t="s">
        <v>38</v>
      </c>
      <c r="F2509" s="33" t="s">
        <v>35</v>
      </c>
      <c r="G2509" s="50"/>
    </row>
    <row r="2510" spans="1:7" ht="15.75" thickBot="1" x14ac:dyDescent="0.3">
      <c r="A2510" s="50"/>
      <c r="B2510" s="50"/>
      <c r="C2510" s="50"/>
      <c r="D2510" s="50"/>
      <c r="E2510" s="50"/>
      <c r="F2510" s="50"/>
      <c r="G2510" s="50"/>
    </row>
    <row r="2511" spans="1:7" ht="15.75" thickBot="1" x14ac:dyDescent="0.3">
      <c r="A2511" s="41" t="s">
        <v>39</v>
      </c>
      <c r="B2511" s="41" t="s">
        <v>40</v>
      </c>
      <c r="C2511" s="41" t="s">
        <v>41</v>
      </c>
      <c r="D2511" s="41" t="s">
        <v>42</v>
      </c>
      <c r="E2511" s="41" t="s">
        <v>43</v>
      </c>
      <c r="F2511" s="41" t="s">
        <v>44</v>
      </c>
      <c r="G2511" s="50"/>
    </row>
    <row r="2512" spans="1:7" ht="33.75" x14ac:dyDescent="0.25">
      <c r="A2512" s="42">
        <v>80141803</v>
      </c>
      <c r="B2512" s="43" t="str">
        <f ca="1">IFERROR(INDEX(UNSPSCDes,MATCH(INDIRECT(ADDRESS(ROW(),COLUMN()-1,4)),UNSPSCCode,0)),"")</f>
        <v>Servicio de escritura de direcciones</v>
      </c>
      <c r="C2512" s="42" t="s">
        <v>46</v>
      </c>
      <c r="D2512" s="42">
        <v>1</v>
      </c>
      <c r="E2512" s="45">
        <v>436400</v>
      </c>
      <c r="F2512" s="46">
        <f ca="1">INDIRECT(ADDRESS(ROW(),COLUMN()-2,4))*INDIRECT(ADDRESS(ROW(),COLUMN()-1,4))</f>
        <v>436400</v>
      </c>
      <c r="G2512" s="50"/>
    </row>
    <row r="2513" spans="1:7" x14ac:dyDescent="0.25">
      <c r="A2513" s="50"/>
      <c r="B2513" s="50"/>
      <c r="C2513" s="50"/>
      <c r="D2513" s="50"/>
      <c r="E2513" s="54" t="s">
        <v>49</v>
      </c>
      <c r="F2513" s="49">
        <f ca="1">SUM(Table3171[MONTO TOTAL ESTIMADO])</f>
        <v>436400</v>
      </c>
      <c r="G2513" s="50"/>
    </row>
    <row r="2514" spans="1:7" ht="15.75" thickBot="1" x14ac:dyDescent="0.3">
      <c r="A2514" s="64"/>
      <c r="B2514" s="64"/>
      <c r="C2514" s="64"/>
      <c r="D2514" s="64"/>
      <c r="E2514" s="64"/>
      <c r="F2514" s="64"/>
      <c r="G2514" s="64"/>
    </row>
    <row r="2515" spans="1:7" ht="34.5" thickBot="1" x14ac:dyDescent="0.3">
      <c r="A2515" s="31" t="s">
        <v>18</v>
      </c>
      <c r="B2515" s="31" t="s">
        <v>19</v>
      </c>
      <c r="C2515" s="31" t="s">
        <v>20</v>
      </c>
      <c r="D2515" s="31" t="s">
        <v>21</v>
      </c>
      <c r="E2515" s="31" t="s">
        <v>22</v>
      </c>
      <c r="F2515" s="31" t="s">
        <v>23</v>
      </c>
      <c r="G2515" s="50"/>
    </row>
    <row r="2516" spans="1:7" ht="15.75" thickBot="1" x14ac:dyDescent="0.3">
      <c r="A2516" s="33" t="s">
        <v>147</v>
      </c>
      <c r="B2516" s="33" t="s">
        <v>148</v>
      </c>
      <c r="C2516" s="33" t="s">
        <v>134</v>
      </c>
      <c r="D2516" s="33" t="s">
        <v>27</v>
      </c>
      <c r="E2516" s="33" t="s">
        <v>56</v>
      </c>
      <c r="F2516" s="33"/>
      <c r="G2516" s="50"/>
    </row>
    <row r="2517" spans="1:7" ht="15.75" thickBot="1" x14ac:dyDescent="0.3">
      <c r="A2517" s="34" t="s">
        <v>28</v>
      </c>
      <c r="B2517" s="35" t="s">
        <v>29</v>
      </c>
      <c r="C2517" s="51">
        <v>45111</v>
      </c>
      <c r="D2517" s="34" t="s">
        <v>30</v>
      </c>
      <c r="E2517" s="35" t="s">
        <v>31</v>
      </c>
      <c r="F2517" s="33" t="s">
        <v>32</v>
      </c>
      <c r="G2517" s="50"/>
    </row>
    <row r="2518" spans="1:7" ht="15.75" thickBot="1" x14ac:dyDescent="0.3">
      <c r="A2518" s="39"/>
      <c r="B2518" s="35" t="s">
        <v>33</v>
      </c>
      <c r="C2518" s="52">
        <f>IF(C2517="","",IF(AND(MONTH(C2517)&gt;=1,MONTH(C2517)&lt;=3),1,IF(AND(MONTH(C2517)&gt;=4,MONTH(C2517)&lt;=6),2,IF(AND(MONTH(C2517)&gt;=7,MONTH(C2517)&lt;=9),3,4))))</f>
        <v>3</v>
      </c>
      <c r="D2518" s="39"/>
      <c r="E2518" s="35" t="s">
        <v>34</v>
      </c>
      <c r="F2518" s="33" t="s">
        <v>35</v>
      </c>
      <c r="G2518" s="50"/>
    </row>
    <row r="2519" spans="1:7" ht="15.75" thickBot="1" x14ac:dyDescent="0.3">
      <c r="A2519" s="39"/>
      <c r="B2519" s="35" t="s">
        <v>36</v>
      </c>
      <c r="C2519" s="51">
        <v>45120</v>
      </c>
      <c r="D2519" s="39"/>
      <c r="E2519" s="35" t="s">
        <v>37</v>
      </c>
      <c r="F2519" s="33" t="s">
        <v>35</v>
      </c>
      <c r="G2519" s="50"/>
    </row>
    <row r="2520" spans="1:7" ht="15.75" thickBot="1" x14ac:dyDescent="0.3">
      <c r="A2520" s="39"/>
      <c r="B2520" s="35" t="s">
        <v>33</v>
      </c>
      <c r="C2520" s="52">
        <f>IF(C2519="","",IF(AND(MONTH(C2519)&gt;=1,MONTH(C2519)&lt;=3),1,IF(AND(MONTH(C2519)&gt;=4,MONTH(C2519)&lt;=6),2,IF(AND(MONTH(C2519)&gt;=7,MONTH(C2519)&lt;=9),3,4))))</f>
        <v>3</v>
      </c>
      <c r="D2520" s="39"/>
      <c r="E2520" s="35" t="s">
        <v>38</v>
      </c>
      <c r="F2520" s="33" t="s">
        <v>35</v>
      </c>
      <c r="G2520" s="50"/>
    </row>
    <row r="2521" spans="1:7" ht="15.75" thickBot="1" x14ac:dyDescent="0.3">
      <c r="A2521" s="50"/>
      <c r="B2521" s="50"/>
      <c r="C2521" s="50"/>
      <c r="D2521" s="50"/>
      <c r="E2521" s="50"/>
      <c r="F2521" s="50"/>
      <c r="G2521" s="50"/>
    </row>
    <row r="2522" spans="1:7" ht="15.75" thickBot="1" x14ac:dyDescent="0.3">
      <c r="A2522" s="41" t="s">
        <v>39</v>
      </c>
      <c r="B2522" s="41" t="s">
        <v>40</v>
      </c>
      <c r="C2522" s="41" t="s">
        <v>41</v>
      </c>
      <c r="D2522" s="41" t="s">
        <v>42</v>
      </c>
      <c r="E2522" s="41" t="s">
        <v>43</v>
      </c>
      <c r="F2522" s="41" t="s">
        <v>44</v>
      </c>
      <c r="G2522" s="50"/>
    </row>
    <row r="2523" spans="1:7" ht="33.75" x14ac:dyDescent="0.25">
      <c r="A2523" s="42">
        <v>80141803</v>
      </c>
      <c r="B2523" s="43" t="str">
        <f ca="1">IFERROR(INDEX(UNSPSCDes,MATCH(INDIRECT(ADDRESS(ROW(),COLUMN()-1,4)),UNSPSCCode,0)),"")</f>
        <v>Servicio de escritura de direcciones</v>
      </c>
      <c r="C2523" s="42" t="s">
        <v>46</v>
      </c>
      <c r="D2523" s="42">
        <v>1</v>
      </c>
      <c r="E2523" s="45">
        <v>436400</v>
      </c>
      <c r="F2523" s="46">
        <f ca="1">INDIRECT(ADDRESS(ROW(),COLUMN()-2,4))*INDIRECT(ADDRESS(ROW(),COLUMN()-1,4))</f>
        <v>436400</v>
      </c>
      <c r="G2523" s="50"/>
    </row>
    <row r="2524" spans="1:7" x14ac:dyDescent="0.25">
      <c r="A2524" s="50"/>
      <c r="B2524" s="50"/>
      <c r="C2524" s="50"/>
      <c r="D2524" s="50"/>
      <c r="E2524" s="54" t="s">
        <v>49</v>
      </c>
      <c r="F2524" s="49">
        <f ca="1">SUM(Table3172[MONTO TOTAL ESTIMADO])</f>
        <v>436400</v>
      </c>
      <c r="G2524" s="50"/>
    </row>
    <row r="2525" spans="1:7" ht="15.75" thickBot="1" x14ac:dyDescent="0.3">
      <c r="A2525" s="64"/>
      <c r="B2525" s="64"/>
      <c r="C2525" s="64"/>
      <c r="D2525" s="64"/>
      <c r="E2525" s="64"/>
      <c r="F2525" s="64"/>
      <c r="G2525" s="64"/>
    </row>
    <row r="2526" spans="1:7" ht="34.5" thickBot="1" x14ac:dyDescent="0.3">
      <c r="A2526" s="31" t="s">
        <v>18</v>
      </c>
      <c r="B2526" s="31" t="s">
        <v>19</v>
      </c>
      <c r="C2526" s="31" t="s">
        <v>20</v>
      </c>
      <c r="D2526" s="31" t="s">
        <v>21</v>
      </c>
      <c r="E2526" s="31" t="s">
        <v>22</v>
      </c>
      <c r="F2526" s="31" t="s">
        <v>23</v>
      </c>
      <c r="G2526" s="50"/>
    </row>
    <row r="2527" spans="1:7" ht="15.75" thickBot="1" x14ac:dyDescent="0.3">
      <c r="A2527" s="33" t="s">
        <v>147</v>
      </c>
      <c r="B2527" s="33" t="s">
        <v>148</v>
      </c>
      <c r="C2527" s="33" t="s">
        <v>134</v>
      </c>
      <c r="D2527" s="33" t="s">
        <v>27</v>
      </c>
      <c r="E2527" s="33" t="s">
        <v>56</v>
      </c>
      <c r="F2527" s="33"/>
      <c r="G2527" s="50"/>
    </row>
    <row r="2528" spans="1:7" ht="15.75" thickBot="1" x14ac:dyDescent="0.3">
      <c r="A2528" s="34" t="s">
        <v>28</v>
      </c>
      <c r="B2528" s="35" t="s">
        <v>29</v>
      </c>
      <c r="C2528" s="51">
        <v>45113</v>
      </c>
      <c r="D2528" s="34" t="s">
        <v>30</v>
      </c>
      <c r="E2528" s="35" t="s">
        <v>31</v>
      </c>
      <c r="F2528" s="33" t="s">
        <v>32</v>
      </c>
      <c r="G2528" s="50"/>
    </row>
    <row r="2529" spans="1:7" ht="15.75" thickBot="1" x14ac:dyDescent="0.3">
      <c r="A2529" s="39"/>
      <c r="B2529" s="35" t="s">
        <v>33</v>
      </c>
      <c r="C2529" s="52">
        <f>IF(C2528="","",IF(AND(MONTH(C2528)&gt;=1,MONTH(C2528)&lt;=3),1,IF(AND(MONTH(C2528)&gt;=4,MONTH(C2528)&lt;=6),2,IF(AND(MONTH(C2528)&gt;=7,MONTH(C2528)&lt;=9),3,4))))</f>
        <v>3</v>
      </c>
      <c r="D2529" s="39"/>
      <c r="E2529" s="35" t="s">
        <v>34</v>
      </c>
      <c r="F2529" s="33" t="s">
        <v>35</v>
      </c>
      <c r="G2529" s="50"/>
    </row>
    <row r="2530" spans="1:7" ht="15.75" thickBot="1" x14ac:dyDescent="0.3">
      <c r="A2530" s="39"/>
      <c r="B2530" s="35" t="s">
        <v>36</v>
      </c>
      <c r="C2530" s="51">
        <v>45124</v>
      </c>
      <c r="D2530" s="39"/>
      <c r="E2530" s="35" t="s">
        <v>37</v>
      </c>
      <c r="F2530" s="33" t="s">
        <v>35</v>
      </c>
      <c r="G2530" s="50"/>
    </row>
    <row r="2531" spans="1:7" ht="15.75" thickBot="1" x14ac:dyDescent="0.3">
      <c r="A2531" s="39"/>
      <c r="B2531" s="35" t="s">
        <v>33</v>
      </c>
      <c r="C2531" s="52">
        <f>IF(C2530="","",IF(AND(MONTH(C2530)&gt;=1,MONTH(C2530)&lt;=3),1,IF(AND(MONTH(C2530)&gt;=4,MONTH(C2530)&lt;=6),2,IF(AND(MONTH(C2530)&gt;=7,MONTH(C2530)&lt;=9),3,4))))</f>
        <v>3</v>
      </c>
      <c r="D2531" s="39"/>
      <c r="E2531" s="35" t="s">
        <v>38</v>
      </c>
      <c r="F2531" s="33" t="s">
        <v>35</v>
      </c>
      <c r="G2531" s="50"/>
    </row>
    <row r="2532" spans="1:7" ht="15.75" thickBot="1" x14ac:dyDescent="0.3">
      <c r="A2532" s="50"/>
      <c r="B2532" s="50"/>
      <c r="C2532" s="50"/>
      <c r="D2532" s="50"/>
      <c r="E2532" s="50"/>
      <c r="F2532" s="50"/>
      <c r="G2532" s="50"/>
    </row>
    <row r="2533" spans="1:7" ht="15.75" thickBot="1" x14ac:dyDescent="0.3">
      <c r="A2533" s="41" t="s">
        <v>39</v>
      </c>
      <c r="B2533" s="41" t="s">
        <v>40</v>
      </c>
      <c r="C2533" s="41" t="s">
        <v>41</v>
      </c>
      <c r="D2533" s="41" t="s">
        <v>42</v>
      </c>
      <c r="E2533" s="41" t="s">
        <v>43</v>
      </c>
      <c r="F2533" s="41" t="s">
        <v>44</v>
      </c>
      <c r="G2533" s="50"/>
    </row>
    <row r="2534" spans="1:7" ht="22.5" x14ac:dyDescent="0.25">
      <c r="A2534" s="42">
        <v>86101705</v>
      </c>
      <c r="B2534" s="43" t="str">
        <f ca="1">IFERROR(INDEX(UNSPSCDes,MATCH(INDIRECT(ADDRESS(ROW(),COLUMN()-1,4)),UNSPSCCode,0)),"")</f>
        <v>Capacitación administrativa</v>
      </c>
      <c r="C2534" s="42" t="s">
        <v>46</v>
      </c>
      <c r="D2534" s="42">
        <v>1</v>
      </c>
      <c r="E2534" s="45">
        <v>286333.33299999998</v>
      </c>
      <c r="F2534" s="46">
        <f ca="1">INDIRECT(ADDRESS(ROW(),COLUMN()-2,4))*INDIRECT(ADDRESS(ROW(),COLUMN()-1,4))</f>
        <v>286333.33299999998</v>
      </c>
      <c r="G2534" s="50"/>
    </row>
    <row r="2535" spans="1:7" x14ac:dyDescent="0.25">
      <c r="A2535" s="50"/>
      <c r="B2535" s="50"/>
      <c r="C2535" s="50"/>
      <c r="D2535" s="50"/>
      <c r="E2535" s="54" t="s">
        <v>49</v>
      </c>
      <c r="F2535" s="49">
        <f ca="1">SUM(Table3173[MONTO TOTAL ESTIMADO])</f>
        <v>286333.33299999998</v>
      </c>
      <c r="G2535" s="50"/>
    </row>
    <row r="2536" spans="1:7" ht="15.75" thickBot="1" x14ac:dyDescent="0.3">
      <c r="A2536" s="64"/>
      <c r="B2536" s="64"/>
      <c r="C2536" s="64"/>
      <c r="D2536" s="64"/>
      <c r="E2536" s="64"/>
      <c r="F2536" s="64"/>
      <c r="G2536" s="64"/>
    </row>
    <row r="2537" spans="1:7" ht="34.5" thickBot="1" x14ac:dyDescent="0.3">
      <c r="A2537" s="31" t="s">
        <v>18</v>
      </c>
      <c r="B2537" s="31" t="s">
        <v>19</v>
      </c>
      <c r="C2537" s="31" t="s">
        <v>20</v>
      </c>
      <c r="D2537" s="31" t="s">
        <v>21</v>
      </c>
      <c r="E2537" s="31" t="s">
        <v>22</v>
      </c>
      <c r="F2537" s="31" t="s">
        <v>23</v>
      </c>
      <c r="G2537" s="50"/>
    </row>
    <row r="2538" spans="1:7" ht="15.75" thickBot="1" x14ac:dyDescent="0.3">
      <c r="A2538" s="33" t="s">
        <v>147</v>
      </c>
      <c r="B2538" s="33" t="s">
        <v>148</v>
      </c>
      <c r="C2538" s="33" t="s">
        <v>134</v>
      </c>
      <c r="D2538" s="33" t="s">
        <v>27</v>
      </c>
      <c r="E2538" s="33" t="s">
        <v>56</v>
      </c>
      <c r="F2538" s="33"/>
      <c r="G2538" s="50"/>
    </row>
    <row r="2539" spans="1:7" ht="15.75" thickBot="1" x14ac:dyDescent="0.3">
      <c r="A2539" s="34" t="s">
        <v>28</v>
      </c>
      <c r="B2539" s="35" t="s">
        <v>29</v>
      </c>
      <c r="C2539" s="51">
        <v>45145</v>
      </c>
      <c r="D2539" s="34" t="s">
        <v>30</v>
      </c>
      <c r="E2539" s="35" t="s">
        <v>31</v>
      </c>
      <c r="F2539" s="33" t="s">
        <v>32</v>
      </c>
      <c r="G2539" s="50"/>
    </row>
    <row r="2540" spans="1:7" ht="15.75" thickBot="1" x14ac:dyDescent="0.3">
      <c r="A2540" s="39"/>
      <c r="B2540" s="35" t="s">
        <v>33</v>
      </c>
      <c r="C2540" s="52">
        <f>IF(C2539="","",IF(AND(MONTH(C2539)&gt;=1,MONTH(C2539)&lt;=3),1,IF(AND(MONTH(C2539)&gt;=4,MONTH(C2539)&lt;=6),2,IF(AND(MONTH(C2539)&gt;=7,MONTH(C2539)&lt;=9),3,4))))</f>
        <v>3</v>
      </c>
      <c r="D2540" s="39"/>
      <c r="E2540" s="35" t="s">
        <v>34</v>
      </c>
      <c r="F2540" s="33" t="s">
        <v>35</v>
      </c>
      <c r="G2540" s="50"/>
    </row>
    <row r="2541" spans="1:7" ht="15.75" thickBot="1" x14ac:dyDescent="0.3">
      <c r="A2541" s="39"/>
      <c r="B2541" s="35" t="s">
        <v>36</v>
      </c>
      <c r="C2541" s="51">
        <v>45156</v>
      </c>
      <c r="D2541" s="39"/>
      <c r="E2541" s="35" t="s">
        <v>37</v>
      </c>
      <c r="F2541" s="33" t="s">
        <v>35</v>
      </c>
      <c r="G2541" s="50"/>
    </row>
    <row r="2542" spans="1:7" ht="15.75" thickBot="1" x14ac:dyDescent="0.3">
      <c r="A2542" s="39"/>
      <c r="B2542" s="35" t="s">
        <v>33</v>
      </c>
      <c r="C2542" s="52">
        <f>IF(C2541="","",IF(AND(MONTH(C2541)&gt;=1,MONTH(C2541)&lt;=3),1,IF(AND(MONTH(C2541)&gt;=4,MONTH(C2541)&lt;=6),2,IF(AND(MONTH(C2541)&gt;=7,MONTH(C2541)&lt;=9),3,4))))</f>
        <v>3</v>
      </c>
      <c r="D2542" s="39"/>
      <c r="E2542" s="35" t="s">
        <v>38</v>
      </c>
      <c r="F2542" s="33" t="s">
        <v>35</v>
      </c>
      <c r="G2542" s="50"/>
    </row>
    <row r="2543" spans="1:7" ht="15.75" thickBot="1" x14ac:dyDescent="0.3">
      <c r="A2543" s="50"/>
      <c r="B2543" s="50"/>
      <c r="C2543" s="50"/>
      <c r="D2543" s="50"/>
      <c r="E2543" s="50"/>
      <c r="F2543" s="50"/>
      <c r="G2543" s="50"/>
    </row>
    <row r="2544" spans="1:7" ht="15.75" thickBot="1" x14ac:dyDescent="0.3">
      <c r="A2544" s="41" t="s">
        <v>39</v>
      </c>
      <c r="B2544" s="41" t="s">
        <v>40</v>
      </c>
      <c r="C2544" s="41" t="s">
        <v>41</v>
      </c>
      <c r="D2544" s="41" t="s">
        <v>42</v>
      </c>
      <c r="E2544" s="41" t="s">
        <v>43</v>
      </c>
      <c r="F2544" s="41" t="s">
        <v>44</v>
      </c>
      <c r="G2544" s="50"/>
    </row>
    <row r="2545" spans="1:7" ht="22.5" x14ac:dyDescent="0.25">
      <c r="A2545" s="42">
        <v>86101705</v>
      </c>
      <c r="B2545" s="43" t="str">
        <f ca="1">IFERROR(INDEX(UNSPSCDes,MATCH(INDIRECT(ADDRESS(ROW(),COLUMN()-1,4)),UNSPSCCode,0)),"")</f>
        <v>Capacitación administrativa</v>
      </c>
      <c r="C2545" s="42" t="s">
        <v>46</v>
      </c>
      <c r="D2545" s="42">
        <v>1</v>
      </c>
      <c r="E2545" s="45">
        <v>286333.3333</v>
      </c>
      <c r="F2545" s="46">
        <f ca="1">INDIRECT(ADDRESS(ROW(),COLUMN()-2,4))*INDIRECT(ADDRESS(ROW(),COLUMN()-1,4))</f>
        <v>286333.3333</v>
      </c>
      <c r="G2545" s="50"/>
    </row>
    <row r="2546" spans="1:7" x14ac:dyDescent="0.25">
      <c r="A2546" s="50"/>
      <c r="B2546" s="50"/>
      <c r="C2546" s="50"/>
      <c r="D2546" s="50"/>
      <c r="E2546" s="54" t="s">
        <v>49</v>
      </c>
      <c r="F2546" s="49">
        <f ca="1">SUM(Table3174[MONTO TOTAL ESTIMADO])</f>
        <v>286333.3333</v>
      </c>
      <c r="G2546" s="50"/>
    </row>
    <row r="2547" spans="1:7" ht="15.75" thickBot="1" x14ac:dyDescent="0.3">
      <c r="A2547" s="64"/>
      <c r="B2547" s="64"/>
      <c r="C2547" s="64"/>
      <c r="D2547" s="64"/>
      <c r="E2547" s="64"/>
      <c r="F2547" s="64"/>
      <c r="G2547" s="64"/>
    </row>
    <row r="2548" spans="1:7" ht="34.5" thickBot="1" x14ac:dyDescent="0.3">
      <c r="A2548" s="31" t="s">
        <v>18</v>
      </c>
      <c r="B2548" s="31" t="s">
        <v>19</v>
      </c>
      <c r="C2548" s="31" t="s">
        <v>20</v>
      </c>
      <c r="D2548" s="31" t="s">
        <v>21</v>
      </c>
      <c r="E2548" s="31" t="s">
        <v>22</v>
      </c>
      <c r="F2548" s="31" t="s">
        <v>23</v>
      </c>
      <c r="G2548" s="50"/>
    </row>
    <row r="2549" spans="1:7" ht="15.75" thickBot="1" x14ac:dyDescent="0.3">
      <c r="A2549" s="33" t="s">
        <v>147</v>
      </c>
      <c r="B2549" s="33" t="s">
        <v>148</v>
      </c>
      <c r="C2549" s="33" t="s">
        <v>134</v>
      </c>
      <c r="D2549" s="33" t="s">
        <v>27</v>
      </c>
      <c r="E2549" s="33" t="s">
        <v>56</v>
      </c>
      <c r="F2549" s="33"/>
      <c r="G2549" s="50"/>
    </row>
    <row r="2550" spans="1:7" ht="15.75" thickBot="1" x14ac:dyDescent="0.3">
      <c r="A2550" s="34" t="s">
        <v>28</v>
      </c>
      <c r="B2550" s="35" t="s">
        <v>29</v>
      </c>
      <c r="C2550" s="51">
        <v>45174</v>
      </c>
      <c r="D2550" s="34" t="s">
        <v>30</v>
      </c>
      <c r="E2550" s="35" t="s">
        <v>31</v>
      </c>
      <c r="F2550" s="33" t="s">
        <v>32</v>
      </c>
      <c r="G2550" s="50"/>
    </row>
    <row r="2551" spans="1:7" ht="15.75" thickBot="1" x14ac:dyDescent="0.3">
      <c r="A2551" s="39"/>
      <c r="B2551" s="35" t="s">
        <v>33</v>
      </c>
      <c r="C2551" s="52">
        <f>IF(C2550="","",IF(AND(MONTH(C2550)&gt;=1,MONTH(C2550)&lt;=3),1,IF(AND(MONTH(C2550)&gt;=4,MONTH(C2550)&lt;=6),2,IF(AND(MONTH(C2550)&gt;=7,MONTH(C2550)&lt;=9),3,4))))</f>
        <v>3</v>
      </c>
      <c r="D2551" s="39"/>
      <c r="E2551" s="35" t="s">
        <v>34</v>
      </c>
      <c r="F2551" s="33" t="s">
        <v>35</v>
      </c>
      <c r="G2551" s="50"/>
    </row>
    <row r="2552" spans="1:7" ht="15.75" thickBot="1" x14ac:dyDescent="0.3">
      <c r="A2552" s="39"/>
      <c r="B2552" s="35" t="s">
        <v>36</v>
      </c>
      <c r="C2552" s="51">
        <v>45184</v>
      </c>
      <c r="D2552" s="39"/>
      <c r="E2552" s="35" t="s">
        <v>37</v>
      </c>
      <c r="F2552" s="33" t="s">
        <v>35</v>
      </c>
      <c r="G2552" s="50"/>
    </row>
    <row r="2553" spans="1:7" ht="15.75" thickBot="1" x14ac:dyDescent="0.3">
      <c r="A2553" s="39"/>
      <c r="B2553" s="35" t="s">
        <v>33</v>
      </c>
      <c r="C2553" s="52">
        <f>IF(C2552="","",IF(AND(MONTH(C2552)&gt;=1,MONTH(C2552)&lt;=3),1,IF(AND(MONTH(C2552)&gt;=4,MONTH(C2552)&lt;=6),2,IF(AND(MONTH(C2552)&gt;=7,MONTH(C2552)&lt;=9),3,4))))</f>
        <v>3</v>
      </c>
      <c r="D2553" s="39"/>
      <c r="E2553" s="35" t="s">
        <v>38</v>
      </c>
      <c r="F2553" s="33" t="s">
        <v>35</v>
      </c>
      <c r="G2553" s="50"/>
    </row>
    <row r="2554" spans="1:7" ht="15.75" thickBot="1" x14ac:dyDescent="0.3">
      <c r="A2554" s="50"/>
      <c r="B2554" s="50"/>
      <c r="C2554" s="50"/>
      <c r="D2554" s="50"/>
      <c r="E2554" s="50"/>
      <c r="F2554" s="50"/>
      <c r="G2554" s="50"/>
    </row>
    <row r="2555" spans="1:7" ht="15.75" thickBot="1" x14ac:dyDescent="0.3">
      <c r="A2555" s="41" t="s">
        <v>39</v>
      </c>
      <c r="B2555" s="41" t="s">
        <v>40</v>
      </c>
      <c r="C2555" s="41" t="s">
        <v>41</v>
      </c>
      <c r="D2555" s="41" t="s">
        <v>42</v>
      </c>
      <c r="E2555" s="41" t="s">
        <v>43</v>
      </c>
      <c r="F2555" s="41" t="s">
        <v>44</v>
      </c>
      <c r="G2555" s="50"/>
    </row>
    <row r="2556" spans="1:7" ht="22.5" x14ac:dyDescent="0.25">
      <c r="A2556" s="42">
        <v>86101705</v>
      </c>
      <c r="B2556" s="43" t="str">
        <f ca="1">IFERROR(INDEX(UNSPSCDes,MATCH(INDIRECT(ADDRESS(ROW(),COLUMN()-1,4)),UNSPSCCode,0)),"")</f>
        <v>Capacitación administrativa</v>
      </c>
      <c r="C2556" s="42" t="s">
        <v>46</v>
      </c>
      <c r="D2556" s="42">
        <v>1</v>
      </c>
      <c r="E2556" s="45">
        <v>286333.3333</v>
      </c>
      <c r="F2556" s="46">
        <f ca="1">INDIRECT(ADDRESS(ROW(),COLUMN()-2,4))*INDIRECT(ADDRESS(ROW(),COLUMN()-1,4))</f>
        <v>286333.3333</v>
      </c>
      <c r="G2556" s="50"/>
    </row>
    <row r="2557" spans="1:7" x14ac:dyDescent="0.25">
      <c r="A2557" s="50"/>
      <c r="B2557" s="50"/>
      <c r="C2557" s="50"/>
      <c r="D2557" s="50"/>
      <c r="E2557" s="54" t="s">
        <v>49</v>
      </c>
      <c r="F2557" s="49">
        <f ca="1">SUM(Table3175[MONTO TOTAL ESTIMADO])</f>
        <v>286333.3333</v>
      </c>
      <c r="G2557" s="50"/>
    </row>
    <row r="2558" spans="1:7" ht="15.75" thickBot="1" x14ac:dyDescent="0.3">
      <c r="A2558" s="64"/>
      <c r="B2558" s="64"/>
      <c r="C2558" s="64"/>
      <c r="D2558" s="64"/>
      <c r="E2558" s="64"/>
      <c r="F2558" s="64"/>
      <c r="G2558" s="64"/>
    </row>
    <row r="2559" spans="1:7" ht="34.5" thickBot="1" x14ac:dyDescent="0.3">
      <c r="A2559" s="31" t="s">
        <v>18</v>
      </c>
      <c r="B2559" s="31" t="s">
        <v>19</v>
      </c>
      <c r="C2559" s="31" t="s">
        <v>20</v>
      </c>
      <c r="D2559" s="31" t="s">
        <v>21</v>
      </c>
      <c r="E2559" s="31" t="s">
        <v>22</v>
      </c>
      <c r="F2559" s="31" t="s">
        <v>23</v>
      </c>
      <c r="G2559" s="50"/>
    </row>
    <row r="2560" spans="1:7" ht="15.75" thickBot="1" x14ac:dyDescent="0.3">
      <c r="A2560" s="33" t="s">
        <v>152</v>
      </c>
      <c r="B2560" s="33" t="s">
        <v>153</v>
      </c>
      <c r="C2560" s="33" t="s">
        <v>74</v>
      </c>
      <c r="D2560" s="33" t="s">
        <v>52</v>
      </c>
      <c r="E2560" s="33" t="s">
        <v>53</v>
      </c>
      <c r="F2560" s="33"/>
      <c r="G2560" s="50"/>
    </row>
    <row r="2561" spans="1:7" ht="15.75" thickBot="1" x14ac:dyDescent="0.3">
      <c r="A2561" s="34" t="s">
        <v>28</v>
      </c>
      <c r="B2561" s="35" t="s">
        <v>29</v>
      </c>
      <c r="C2561" s="51">
        <v>45117</v>
      </c>
      <c r="D2561" s="34" t="s">
        <v>30</v>
      </c>
      <c r="E2561" s="35" t="s">
        <v>31</v>
      </c>
      <c r="F2561" s="33" t="s">
        <v>32</v>
      </c>
      <c r="G2561" s="50"/>
    </row>
    <row r="2562" spans="1:7" ht="15.75" thickBot="1" x14ac:dyDescent="0.3">
      <c r="A2562" s="39"/>
      <c r="B2562" s="35" t="s">
        <v>33</v>
      </c>
      <c r="C2562" s="52">
        <f>IF(C2561="","",IF(AND(MONTH(C2561)&gt;=1,MONTH(C2561)&lt;=3),1,IF(AND(MONTH(C2561)&gt;=4,MONTH(C2561)&lt;=6),2,IF(AND(MONTH(C2561)&gt;=7,MONTH(C2561)&lt;=9),3,4))))</f>
        <v>3</v>
      </c>
      <c r="D2562" s="39"/>
      <c r="E2562" s="35" t="s">
        <v>34</v>
      </c>
      <c r="F2562" s="33" t="s">
        <v>35</v>
      </c>
      <c r="G2562" s="50"/>
    </row>
    <row r="2563" spans="1:7" ht="15.75" thickBot="1" x14ac:dyDescent="0.3">
      <c r="A2563" s="39"/>
      <c r="B2563" s="35" t="s">
        <v>36</v>
      </c>
      <c r="C2563" s="51">
        <v>45127</v>
      </c>
      <c r="D2563" s="39"/>
      <c r="E2563" s="35" t="s">
        <v>37</v>
      </c>
      <c r="F2563" s="33" t="s">
        <v>35</v>
      </c>
      <c r="G2563" s="50"/>
    </row>
    <row r="2564" spans="1:7" ht="15.75" thickBot="1" x14ac:dyDescent="0.3">
      <c r="A2564" s="39"/>
      <c r="B2564" s="35" t="s">
        <v>33</v>
      </c>
      <c r="C2564" s="52">
        <f>IF(C2563="","",IF(AND(MONTH(C2563)&gt;=1,MONTH(C2563)&lt;=3),1,IF(AND(MONTH(C2563)&gt;=4,MONTH(C2563)&lt;=6),2,IF(AND(MONTH(C2563)&gt;=7,MONTH(C2563)&lt;=9),3,4))))</f>
        <v>3</v>
      </c>
      <c r="D2564" s="39"/>
      <c r="E2564" s="35" t="s">
        <v>38</v>
      </c>
      <c r="F2564" s="33" t="s">
        <v>35</v>
      </c>
      <c r="G2564" s="50"/>
    </row>
    <row r="2565" spans="1:7" ht="15.75" thickBot="1" x14ac:dyDescent="0.3">
      <c r="A2565" s="50"/>
      <c r="B2565" s="50"/>
      <c r="C2565" s="50"/>
      <c r="D2565" s="50"/>
      <c r="E2565" s="50"/>
      <c r="F2565" s="50"/>
      <c r="G2565" s="50"/>
    </row>
    <row r="2566" spans="1:7" ht="15.75" thickBot="1" x14ac:dyDescent="0.3">
      <c r="A2566" s="41" t="s">
        <v>39</v>
      </c>
      <c r="B2566" s="41" t="s">
        <v>40</v>
      </c>
      <c r="C2566" s="41" t="s">
        <v>41</v>
      </c>
      <c r="D2566" s="41" t="s">
        <v>42</v>
      </c>
      <c r="E2566" s="41" t="s">
        <v>43</v>
      </c>
      <c r="F2566" s="41" t="s">
        <v>44</v>
      </c>
      <c r="G2566" s="50"/>
    </row>
    <row r="2567" spans="1:7" ht="33.75" x14ac:dyDescent="0.25">
      <c r="A2567" s="42">
        <v>82121505</v>
      </c>
      <c r="B2567" s="43" t="str">
        <f ca="1">IFERROR(INDEX(UNSPSCDes,MATCH(INDIRECT(ADDRESS(ROW(),COLUMN()-1,4)),UNSPSCCode,0)),"")</f>
        <v>Impresión promocional o publicitaria</v>
      </c>
      <c r="C2567" s="42" t="s">
        <v>46</v>
      </c>
      <c r="D2567" s="42">
        <v>25</v>
      </c>
      <c r="E2567" s="45">
        <v>1125</v>
      </c>
      <c r="F2567" s="46">
        <f ca="1">INDIRECT(ADDRESS(ROW(),COLUMN()-2,4))*INDIRECT(ADDRESS(ROW(),COLUMN()-1,4))</f>
        <v>28125</v>
      </c>
      <c r="G2567" s="50"/>
    </row>
    <row r="2568" spans="1:7" ht="33.75" x14ac:dyDescent="0.25">
      <c r="A2568" s="42">
        <v>82121505</v>
      </c>
      <c r="B2568" s="43" t="str">
        <f ca="1">IFERROR(INDEX(UNSPSCDes,MATCH(INDIRECT(ADDRESS(ROW(),COLUMN()-1,4)),UNSPSCCode,0)),"")</f>
        <v>Impresión promocional o publicitaria</v>
      </c>
      <c r="C2568" s="42" t="s">
        <v>46</v>
      </c>
      <c r="D2568" s="42">
        <v>1</v>
      </c>
      <c r="E2568" s="45">
        <v>6000</v>
      </c>
      <c r="F2568" s="46">
        <f ca="1">INDIRECT(ADDRESS(ROW(),COLUMN()-2,4))*INDIRECT(ADDRESS(ROW(),COLUMN()-1,4))</f>
        <v>6000</v>
      </c>
      <c r="G2568" s="50"/>
    </row>
    <row r="2569" spans="1:7" x14ac:dyDescent="0.25">
      <c r="A2569" s="50"/>
      <c r="B2569" s="50"/>
      <c r="C2569" s="50"/>
      <c r="D2569" s="50"/>
      <c r="E2569" s="54" t="s">
        <v>49</v>
      </c>
      <c r="F2569" s="49">
        <f ca="1">SUM(Table3176[MONTO TOTAL ESTIMADO])</f>
        <v>34125</v>
      </c>
      <c r="G2569" s="50"/>
    </row>
    <row r="2570" spans="1:7" ht="15.75" thickBot="1" x14ac:dyDescent="0.3">
      <c r="A2570" s="64"/>
      <c r="B2570" s="64"/>
      <c r="C2570" s="64"/>
      <c r="D2570" s="64"/>
      <c r="E2570" s="64"/>
      <c r="F2570" s="64"/>
      <c r="G2570" s="64"/>
    </row>
    <row r="2571" spans="1:7" ht="34.5" thickBot="1" x14ac:dyDescent="0.3">
      <c r="A2571" s="31" t="s">
        <v>18</v>
      </c>
      <c r="B2571" s="31" t="s">
        <v>19</v>
      </c>
      <c r="C2571" s="31" t="s">
        <v>20</v>
      </c>
      <c r="D2571" s="31" t="s">
        <v>21</v>
      </c>
      <c r="E2571" s="31" t="s">
        <v>22</v>
      </c>
      <c r="F2571" s="31" t="s">
        <v>23</v>
      </c>
      <c r="G2571" s="50"/>
    </row>
    <row r="2572" spans="1:7" ht="15.75" thickBot="1" x14ac:dyDescent="0.3">
      <c r="A2572" s="33" t="s">
        <v>158</v>
      </c>
      <c r="B2572" s="33" t="s">
        <v>159</v>
      </c>
      <c r="C2572" s="33" t="s">
        <v>26</v>
      </c>
      <c r="D2572" s="33" t="s">
        <v>52</v>
      </c>
      <c r="E2572" s="33" t="s">
        <v>53</v>
      </c>
      <c r="F2572" s="33"/>
      <c r="G2572" s="50"/>
    </row>
    <row r="2573" spans="1:7" ht="15.75" thickBot="1" x14ac:dyDescent="0.3">
      <c r="A2573" s="34" t="s">
        <v>28</v>
      </c>
      <c r="B2573" s="35" t="s">
        <v>29</v>
      </c>
      <c r="C2573" s="51">
        <v>44960</v>
      </c>
      <c r="D2573" s="34" t="s">
        <v>30</v>
      </c>
      <c r="E2573" s="35" t="s">
        <v>31</v>
      </c>
      <c r="F2573" s="33" t="s">
        <v>32</v>
      </c>
      <c r="G2573" s="50"/>
    </row>
    <row r="2574" spans="1:7" ht="15.75" thickBot="1" x14ac:dyDescent="0.3">
      <c r="A2574" s="39"/>
      <c r="B2574" s="35" t="s">
        <v>33</v>
      </c>
      <c r="C2574" s="52">
        <f>IF(C2573="","",IF(AND(MONTH(C2573)&gt;=1,MONTH(C2573)&lt;=3),1,IF(AND(MONTH(C2573)&gt;=4,MONTH(C2573)&lt;=6),2,IF(AND(MONTH(C2573)&gt;=7,MONTH(C2573)&lt;=9),3,4))))</f>
        <v>1</v>
      </c>
      <c r="D2574" s="39"/>
      <c r="E2574" s="35" t="s">
        <v>34</v>
      </c>
      <c r="F2574" s="33" t="s">
        <v>35</v>
      </c>
      <c r="G2574" s="50"/>
    </row>
    <row r="2575" spans="1:7" ht="15.75" thickBot="1" x14ac:dyDescent="0.3">
      <c r="A2575" s="39"/>
      <c r="B2575" s="35" t="s">
        <v>36</v>
      </c>
      <c r="C2575" s="51">
        <v>44972</v>
      </c>
      <c r="D2575" s="39"/>
      <c r="E2575" s="35" t="s">
        <v>37</v>
      </c>
      <c r="F2575" s="33" t="s">
        <v>35</v>
      </c>
      <c r="G2575" s="50"/>
    </row>
    <row r="2576" spans="1:7" ht="15.75" thickBot="1" x14ac:dyDescent="0.3">
      <c r="A2576" s="39"/>
      <c r="B2576" s="35" t="s">
        <v>33</v>
      </c>
      <c r="C2576" s="52">
        <f>IF(C2575="","",IF(AND(MONTH(C2575)&gt;=1,MONTH(C2575)&lt;=3),1,IF(AND(MONTH(C2575)&gt;=4,MONTH(C2575)&lt;=6),2,IF(AND(MONTH(C2575)&gt;=7,MONTH(C2575)&lt;=9),3,4))))</f>
        <v>1</v>
      </c>
      <c r="D2576" s="39"/>
      <c r="E2576" s="35" t="s">
        <v>38</v>
      </c>
      <c r="F2576" s="33" t="s">
        <v>35</v>
      </c>
      <c r="G2576" s="50"/>
    </row>
    <row r="2577" spans="1:7" ht="15.75" thickBot="1" x14ac:dyDescent="0.3">
      <c r="A2577" s="50"/>
      <c r="B2577" s="50"/>
      <c r="C2577" s="50"/>
      <c r="D2577" s="50"/>
      <c r="E2577" s="50"/>
      <c r="F2577" s="50"/>
      <c r="G2577" s="50"/>
    </row>
    <row r="2578" spans="1:7" ht="15.75" thickBot="1" x14ac:dyDescent="0.3">
      <c r="A2578" s="41" t="s">
        <v>39</v>
      </c>
      <c r="B2578" s="41" t="s">
        <v>40</v>
      </c>
      <c r="C2578" s="41" t="s">
        <v>41</v>
      </c>
      <c r="D2578" s="41" t="s">
        <v>42</v>
      </c>
      <c r="E2578" s="41" t="s">
        <v>43</v>
      </c>
      <c r="F2578" s="41" t="s">
        <v>44</v>
      </c>
      <c r="G2578" s="50"/>
    </row>
    <row r="2579" spans="1:7" ht="22.5" x14ac:dyDescent="0.25">
      <c r="A2579" s="42">
        <v>15101505</v>
      </c>
      <c r="B2579" s="43" t="str">
        <f ca="1">IFERROR(INDEX(UNSPSCDes,MATCH(INDIRECT(ADDRESS(ROW(),COLUMN()-1,4)),UNSPSCCode,0)),"")</f>
        <v>Combustible diesel</v>
      </c>
      <c r="C2579" s="42" t="s">
        <v>59</v>
      </c>
      <c r="D2579" s="42">
        <v>100</v>
      </c>
      <c r="E2579" s="45">
        <v>260</v>
      </c>
      <c r="F2579" s="46">
        <f ca="1">INDIRECT(ADDRESS(ROW(),COLUMN()-2,4))*INDIRECT(ADDRESS(ROW(),COLUMN()-1,4))</f>
        <v>26000</v>
      </c>
      <c r="G2579" s="50"/>
    </row>
    <row r="2580" spans="1:7" x14ac:dyDescent="0.25">
      <c r="A2580" s="50"/>
      <c r="B2580" s="50"/>
      <c r="C2580" s="50"/>
      <c r="D2580" s="50"/>
      <c r="E2580" s="54" t="s">
        <v>49</v>
      </c>
      <c r="F2580" s="49">
        <f ca="1">SUM(Table3177[MONTO TOTAL ESTIMADO])</f>
        <v>26000</v>
      </c>
      <c r="G2580" s="50"/>
    </row>
    <row r="2581" spans="1:7" ht="15.75" thickBot="1" x14ac:dyDescent="0.3">
      <c r="A2581" s="64"/>
      <c r="B2581" s="64"/>
      <c r="C2581" s="64"/>
      <c r="D2581" s="64"/>
      <c r="E2581" s="64"/>
      <c r="F2581" s="64"/>
      <c r="G2581" s="64"/>
    </row>
    <row r="2582" spans="1:7" ht="34.5" thickBot="1" x14ac:dyDescent="0.3">
      <c r="A2582" s="31" t="s">
        <v>18</v>
      </c>
      <c r="B2582" s="31" t="s">
        <v>19</v>
      </c>
      <c r="C2582" s="31" t="s">
        <v>20</v>
      </c>
      <c r="D2582" s="31" t="s">
        <v>21</v>
      </c>
      <c r="E2582" s="31" t="s">
        <v>22</v>
      </c>
      <c r="F2582" s="31" t="s">
        <v>23</v>
      </c>
      <c r="G2582" s="50"/>
    </row>
    <row r="2583" spans="1:7" ht="15.75" thickBot="1" x14ac:dyDescent="0.3">
      <c r="A2583" s="33" t="s">
        <v>158</v>
      </c>
      <c r="B2583" s="33" t="s">
        <v>159</v>
      </c>
      <c r="C2583" s="33" t="s">
        <v>26</v>
      </c>
      <c r="D2583" s="33" t="s">
        <v>52</v>
      </c>
      <c r="E2583" s="33" t="s">
        <v>53</v>
      </c>
      <c r="F2583" s="33"/>
      <c r="G2583" s="50"/>
    </row>
    <row r="2584" spans="1:7" ht="15.75" thickBot="1" x14ac:dyDescent="0.3">
      <c r="A2584" s="34" t="s">
        <v>28</v>
      </c>
      <c r="B2584" s="35" t="s">
        <v>29</v>
      </c>
      <c r="C2584" s="51">
        <v>45049</v>
      </c>
      <c r="D2584" s="34" t="s">
        <v>30</v>
      </c>
      <c r="E2584" s="35" t="s">
        <v>31</v>
      </c>
      <c r="F2584" s="33" t="s">
        <v>32</v>
      </c>
      <c r="G2584" s="50"/>
    </row>
    <row r="2585" spans="1:7" ht="15.75" thickBot="1" x14ac:dyDescent="0.3">
      <c r="A2585" s="39"/>
      <c r="B2585" s="35" t="s">
        <v>33</v>
      </c>
      <c r="C2585" s="52">
        <f>IF(C2584="","",IF(AND(MONTH(C2584)&gt;=1,MONTH(C2584)&lt;=3),1,IF(AND(MONTH(C2584)&gt;=4,MONTH(C2584)&lt;=6),2,IF(AND(MONTH(C2584)&gt;=7,MONTH(C2584)&lt;=9),3,4))))</f>
        <v>2</v>
      </c>
      <c r="D2585" s="39"/>
      <c r="E2585" s="35" t="s">
        <v>34</v>
      </c>
      <c r="F2585" s="33" t="s">
        <v>35</v>
      </c>
      <c r="G2585" s="50"/>
    </row>
    <row r="2586" spans="1:7" ht="15.75" thickBot="1" x14ac:dyDescent="0.3">
      <c r="A2586" s="39"/>
      <c r="B2586" s="35" t="s">
        <v>36</v>
      </c>
      <c r="C2586" s="51">
        <v>45058</v>
      </c>
      <c r="D2586" s="39"/>
      <c r="E2586" s="35" t="s">
        <v>37</v>
      </c>
      <c r="F2586" s="33" t="s">
        <v>35</v>
      </c>
      <c r="G2586" s="50"/>
    </row>
    <row r="2587" spans="1:7" ht="15.75" thickBot="1" x14ac:dyDescent="0.3">
      <c r="A2587" s="39"/>
      <c r="B2587" s="35" t="s">
        <v>33</v>
      </c>
      <c r="C2587" s="52">
        <f>IF(C2586="","",IF(AND(MONTH(C2586)&gt;=1,MONTH(C2586)&lt;=3),1,IF(AND(MONTH(C2586)&gt;=4,MONTH(C2586)&lt;=6),2,IF(AND(MONTH(C2586)&gt;=7,MONTH(C2586)&lt;=9),3,4))))</f>
        <v>2</v>
      </c>
      <c r="D2587" s="39"/>
      <c r="E2587" s="35" t="s">
        <v>38</v>
      </c>
      <c r="F2587" s="33" t="s">
        <v>35</v>
      </c>
      <c r="G2587" s="50"/>
    </row>
    <row r="2588" spans="1:7" ht="15.75" thickBot="1" x14ac:dyDescent="0.3">
      <c r="A2588" s="50"/>
      <c r="B2588" s="50"/>
      <c r="C2588" s="50"/>
      <c r="D2588" s="50"/>
      <c r="E2588" s="50"/>
      <c r="F2588" s="50"/>
      <c r="G2588" s="50"/>
    </row>
    <row r="2589" spans="1:7" ht="15.75" thickBot="1" x14ac:dyDescent="0.3">
      <c r="A2589" s="41" t="s">
        <v>39</v>
      </c>
      <c r="B2589" s="41" t="s">
        <v>40</v>
      </c>
      <c r="C2589" s="41" t="s">
        <v>41</v>
      </c>
      <c r="D2589" s="41" t="s">
        <v>42</v>
      </c>
      <c r="E2589" s="41" t="s">
        <v>43</v>
      </c>
      <c r="F2589" s="41" t="s">
        <v>44</v>
      </c>
      <c r="G2589" s="50"/>
    </row>
    <row r="2590" spans="1:7" ht="22.5" x14ac:dyDescent="0.25">
      <c r="A2590" s="42">
        <v>15101505</v>
      </c>
      <c r="B2590" s="43" t="str">
        <f ca="1">IFERROR(INDEX(UNSPSCDes,MATCH(INDIRECT(ADDRESS(ROW(),COLUMN()-1,4)),UNSPSCCode,0)),"")</f>
        <v>Combustible diesel</v>
      </c>
      <c r="C2590" s="42" t="s">
        <v>59</v>
      </c>
      <c r="D2590" s="42">
        <v>100</v>
      </c>
      <c r="E2590" s="45">
        <v>260</v>
      </c>
      <c r="F2590" s="46">
        <f ca="1">INDIRECT(ADDRESS(ROW(),COLUMN()-2,4))*INDIRECT(ADDRESS(ROW(),COLUMN()-1,4))</f>
        <v>26000</v>
      </c>
      <c r="G2590" s="50"/>
    </row>
    <row r="2591" spans="1:7" x14ac:dyDescent="0.25">
      <c r="A2591" s="50"/>
      <c r="B2591" s="50"/>
      <c r="C2591" s="50"/>
      <c r="D2591" s="50"/>
      <c r="E2591" s="54" t="s">
        <v>49</v>
      </c>
      <c r="F2591" s="49">
        <f ca="1">SUM(Table3178[MONTO TOTAL ESTIMADO])</f>
        <v>26000</v>
      </c>
      <c r="G2591" s="50"/>
    </row>
    <row r="2592" spans="1:7" ht="15.75" thickBot="1" x14ac:dyDescent="0.3">
      <c r="A2592" s="64"/>
      <c r="B2592" s="64"/>
      <c r="C2592" s="64"/>
      <c r="D2592" s="64"/>
      <c r="E2592" s="64"/>
      <c r="F2592" s="64"/>
      <c r="G2592" s="64"/>
    </row>
    <row r="2593" spans="1:7" ht="34.5" thickBot="1" x14ac:dyDescent="0.3">
      <c r="A2593" s="31" t="s">
        <v>18</v>
      </c>
      <c r="B2593" s="31" t="s">
        <v>19</v>
      </c>
      <c r="C2593" s="31" t="s">
        <v>20</v>
      </c>
      <c r="D2593" s="31" t="s">
        <v>21</v>
      </c>
      <c r="E2593" s="31" t="s">
        <v>22</v>
      </c>
      <c r="F2593" s="31" t="s">
        <v>23</v>
      </c>
      <c r="G2593" s="50"/>
    </row>
    <row r="2594" spans="1:7" ht="15.75" thickBot="1" x14ac:dyDescent="0.3">
      <c r="A2594" s="33" t="s">
        <v>158</v>
      </c>
      <c r="B2594" s="33" t="s">
        <v>159</v>
      </c>
      <c r="C2594" s="33" t="s">
        <v>26</v>
      </c>
      <c r="D2594" s="33" t="s">
        <v>52</v>
      </c>
      <c r="E2594" s="33" t="s">
        <v>53</v>
      </c>
      <c r="F2594" s="33"/>
      <c r="G2594" s="50"/>
    </row>
    <row r="2595" spans="1:7" ht="15.75" thickBot="1" x14ac:dyDescent="0.3">
      <c r="A2595" s="34" t="s">
        <v>28</v>
      </c>
      <c r="B2595" s="35" t="s">
        <v>29</v>
      </c>
      <c r="C2595" s="51">
        <v>45141</v>
      </c>
      <c r="D2595" s="34" t="s">
        <v>30</v>
      </c>
      <c r="E2595" s="35" t="s">
        <v>31</v>
      </c>
      <c r="F2595" s="33" t="s">
        <v>32</v>
      </c>
      <c r="G2595" s="50"/>
    </row>
    <row r="2596" spans="1:7" ht="15.75" thickBot="1" x14ac:dyDescent="0.3">
      <c r="A2596" s="39"/>
      <c r="B2596" s="35" t="s">
        <v>33</v>
      </c>
      <c r="C2596" s="52">
        <f>IF(C2595="","",IF(AND(MONTH(C2595)&gt;=1,MONTH(C2595)&lt;=3),1,IF(AND(MONTH(C2595)&gt;=4,MONTH(C2595)&lt;=6),2,IF(AND(MONTH(C2595)&gt;=7,MONTH(C2595)&lt;=9),3,4))))</f>
        <v>3</v>
      </c>
      <c r="D2596" s="39"/>
      <c r="E2596" s="35" t="s">
        <v>34</v>
      </c>
      <c r="F2596" s="33" t="s">
        <v>35</v>
      </c>
      <c r="G2596" s="50"/>
    </row>
    <row r="2597" spans="1:7" ht="15.75" thickBot="1" x14ac:dyDescent="0.3">
      <c r="A2597" s="39"/>
      <c r="B2597" s="35" t="s">
        <v>36</v>
      </c>
      <c r="C2597" s="51">
        <v>45149</v>
      </c>
      <c r="D2597" s="39"/>
      <c r="E2597" s="35" t="s">
        <v>37</v>
      </c>
      <c r="F2597" s="33" t="s">
        <v>35</v>
      </c>
      <c r="G2597" s="50"/>
    </row>
    <row r="2598" spans="1:7" ht="15.75" thickBot="1" x14ac:dyDescent="0.3">
      <c r="A2598" s="39"/>
      <c r="B2598" s="35" t="s">
        <v>33</v>
      </c>
      <c r="C2598" s="52">
        <f>IF(C2597="","",IF(AND(MONTH(C2597)&gt;=1,MONTH(C2597)&lt;=3),1,IF(AND(MONTH(C2597)&gt;=4,MONTH(C2597)&lt;=6),2,IF(AND(MONTH(C2597)&gt;=7,MONTH(C2597)&lt;=9),3,4))))</f>
        <v>3</v>
      </c>
      <c r="D2598" s="39"/>
      <c r="E2598" s="35" t="s">
        <v>38</v>
      </c>
      <c r="F2598" s="33" t="s">
        <v>35</v>
      </c>
      <c r="G2598" s="50"/>
    </row>
    <row r="2599" spans="1:7" ht="15.75" thickBot="1" x14ac:dyDescent="0.3">
      <c r="A2599" s="50"/>
      <c r="B2599" s="50"/>
      <c r="C2599" s="50"/>
      <c r="D2599" s="50"/>
      <c r="E2599" s="50"/>
      <c r="F2599" s="50"/>
      <c r="G2599" s="50"/>
    </row>
    <row r="2600" spans="1:7" ht="15.75" thickBot="1" x14ac:dyDescent="0.3">
      <c r="A2600" s="41" t="s">
        <v>39</v>
      </c>
      <c r="B2600" s="41" t="s">
        <v>40</v>
      </c>
      <c r="C2600" s="41" t="s">
        <v>41</v>
      </c>
      <c r="D2600" s="41" t="s">
        <v>42</v>
      </c>
      <c r="E2600" s="41" t="s">
        <v>43</v>
      </c>
      <c r="F2600" s="41" t="s">
        <v>44</v>
      </c>
      <c r="G2600" s="50"/>
    </row>
    <row r="2601" spans="1:7" ht="22.5" x14ac:dyDescent="0.25">
      <c r="A2601" s="42">
        <v>15101505</v>
      </c>
      <c r="B2601" s="43" t="str">
        <f ca="1">IFERROR(INDEX(UNSPSCDes,MATCH(INDIRECT(ADDRESS(ROW(),COLUMN()-1,4)),UNSPSCCode,0)),"")</f>
        <v>Combustible diesel</v>
      </c>
      <c r="C2601" s="42" t="s">
        <v>59</v>
      </c>
      <c r="D2601" s="42">
        <v>100</v>
      </c>
      <c r="E2601" s="45">
        <v>260</v>
      </c>
      <c r="F2601" s="46">
        <f ca="1">INDIRECT(ADDRESS(ROW(),COLUMN()-2,4))*INDIRECT(ADDRESS(ROW(),COLUMN()-1,4))</f>
        <v>26000</v>
      </c>
      <c r="G2601" s="50"/>
    </row>
    <row r="2602" spans="1:7" x14ac:dyDescent="0.25">
      <c r="A2602" s="50"/>
      <c r="B2602" s="50"/>
      <c r="C2602" s="50"/>
      <c r="D2602" s="50"/>
      <c r="E2602" s="54" t="s">
        <v>49</v>
      </c>
      <c r="F2602" s="49">
        <f ca="1">SUM(Table3179[MONTO TOTAL ESTIMADO])</f>
        <v>26000</v>
      </c>
      <c r="G2602" s="50"/>
    </row>
    <row r="2603" spans="1:7" ht="15.75" thickBot="1" x14ac:dyDescent="0.3">
      <c r="A2603" s="64"/>
      <c r="B2603" s="64"/>
      <c r="C2603" s="64"/>
      <c r="D2603" s="64"/>
      <c r="E2603" s="64"/>
      <c r="F2603" s="64"/>
      <c r="G2603" s="64"/>
    </row>
    <row r="2604" spans="1:7" ht="34.5" thickBot="1" x14ac:dyDescent="0.3">
      <c r="A2604" s="31" t="s">
        <v>18</v>
      </c>
      <c r="B2604" s="31" t="s">
        <v>19</v>
      </c>
      <c r="C2604" s="31" t="s">
        <v>20</v>
      </c>
      <c r="D2604" s="31" t="s">
        <v>21</v>
      </c>
      <c r="E2604" s="31" t="s">
        <v>22</v>
      </c>
      <c r="F2604" s="31" t="s">
        <v>23</v>
      </c>
      <c r="G2604" s="50"/>
    </row>
    <row r="2605" spans="1:7" ht="15.75" thickBot="1" x14ac:dyDescent="0.3">
      <c r="A2605" s="33" t="s">
        <v>158</v>
      </c>
      <c r="B2605" s="33" t="s">
        <v>159</v>
      </c>
      <c r="C2605" s="33" t="s">
        <v>26</v>
      </c>
      <c r="D2605" s="33" t="s">
        <v>52</v>
      </c>
      <c r="E2605" s="33" t="s">
        <v>53</v>
      </c>
      <c r="F2605" s="33"/>
      <c r="G2605" s="50"/>
    </row>
    <row r="2606" spans="1:7" ht="15.75" thickBot="1" x14ac:dyDescent="0.3">
      <c r="A2606" s="34" t="s">
        <v>28</v>
      </c>
      <c r="B2606" s="35" t="s">
        <v>29</v>
      </c>
      <c r="C2606" s="51">
        <v>45233</v>
      </c>
      <c r="D2606" s="34" t="s">
        <v>30</v>
      </c>
      <c r="E2606" s="35" t="s">
        <v>31</v>
      </c>
      <c r="F2606" s="33" t="s">
        <v>32</v>
      </c>
      <c r="G2606" s="50"/>
    </row>
    <row r="2607" spans="1:7" ht="15.75" thickBot="1" x14ac:dyDescent="0.3">
      <c r="A2607" s="39"/>
      <c r="B2607" s="35" t="s">
        <v>33</v>
      </c>
      <c r="C2607" s="52">
        <f>IF(C2606="","",IF(AND(MONTH(C2606)&gt;=1,MONTH(C2606)&lt;=3),1,IF(AND(MONTH(C2606)&gt;=4,MONTH(C2606)&lt;=6),2,IF(AND(MONTH(C2606)&gt;=7,MONTH(C2606)&lt;=9),3,4))))</f>
        <v>4</v>
      </c>
      <c r="D2607" s="39"/>
      <c r="E2607" s="35" t="s">
        <v>34</v>
      </c>
      <c r="F2607" s="33" t="s">
        <v>35</v>
      </c>
      <c r="G2607" s="50"/>
    </row>
    <row r="2608" spans="1:7" ht="15.75" thickBot="1" x14ac:dyDescent="0.3">
      <c r="A2608" s="39"/>
      <c r="B2608" s="35" t="s">
        <v>36</v>
      </c>
      <c r="C2608" s="51">
        <v>45243</v>
      </c>
      <c r="D2608" s="39"/>
      <c r="E2608" s="35" t="s">
        <v>37</v>
      </c>
      <c r="F2608" s="33" t="s">
        <v>35</v>
      </c>
      <c r="G2608" s="50"/>
    </row>
    <row r="2609" spans="1:7" ht="15.75" thickBot="1" x14ac:dyDescent="0.3">
      <c r="A2609" s="39"/>
      <c r="B2609" s="35" t="s">
        <v>33</v>
      </c>
      <c r="C2609" s="52">
        <f>IF(C2608="","",IF(AND(MONTH(C2608)&gt;=1,MONTH(C2608)&lt;=3),1,IF(AND(MONTH(C2608)&gt;=4,MONTH(C2608)&lt;=6),2,IF(AND(MONTH(C2608)&gt;=7,MONTH(C2608)&lt;=9),3,4))))</f>
        <v>4</v>
      </c>
      <c r="D2609" s="39"/>
      <c r="E2609" s="35" t="s">
        <v>38</v>
      </c>
      <c r="F2609" s="33" t="s">
        <v>35</v>
      </c>
      <c r="G2609" s="50"/>
    </row>
    <row r="2610" spans="1:7" ht="15.75" thickBot="1" x14ac:dyDescent="0.3">
      <c r="A2610" s="50"/>
      <c r="B2610" s="50"/>
      <c r="C2610" s="50"/>
      <c r="D2610" s="50"/>
      <c r="E2610" s="50"/>
      <c r="F2610" s="50"/>
      <c r="G2610" s="50"/>
    </row>
    <row r="2611" spans="1:7" ht="15.75" thickBot="1" x14ac:dyDescent="0.3">
      <c r="A2611" s="41" t="s">
        <v>39</v>
      </c>
      <c r="B2611" s="41" t="s">
        <v>40</v>
      </c>
      <c r="C2611" s="41" t="s">
        <v>41</v>
      </c>
      <c r="D2611" s="41" t="s">
        <v>42</v>
      </c>
      <c r="E2611" s="41" t="s">
        <v>43</v>
      </c>
      <c r="F2611" s="41" t="s">
        <v>44</v>
      </c>
      <c r="G2611" s="50"/>
    </row>
    <row r="2612" spans="1:7" ht="22.5" x14ac:dyDescent="0.25">
      <c r="A2612" s="42">
        <v>15101505</v>
      </c>
      <c r="B2612" s="43" t="str">
        <f ca="1">IFERROR(INDEX(UNSPSCDes,MATCH(INDIRECT(ADDRESS(ROW(),COLUMN()-1,4)),UNSPSCCode,0)),"")</f>
        <v>Combustible diesel</v>
      </c>
      <c r="C2612" s="42" t="s">
        <v>59</v>
      </c>
      <c r="D2612" s="42">
        <v>100</v>
      </c>
      <c r="E2612" s="45">
        <v>260</v>
      </c>
      <c r="F2612" s="46">
        <f ca="1">INDIRECT(ADDRESS(ROW(),COLUMN()-2,4))*INDIRECT(ADDRESS(ROW(),COLUMN()-1,4))</f>
        <v>26000</v>
      </c>
      <c r="G2612" s="50"/>
    </row>
    <row r="2613" spans="1:7" x14ac:dyDescent="0.25">
      <c r="A2613" s="50"/>
      <c r="B2613" s="50"/>
      <c r="C2613" s="50"/>
      <c r="D2613" s="50"/>
      <c r="E2613" s="54" t="s">
        <v>49</v>
      </c>
      <c r="F2613" s="49">
        <f ca="1">SUM(Table3180[MONTO TOTAL ESTIMADO])</f>
        <v>26000</v>
      </c>
      <c r="G2613" s="50"/>
    </row>
    <row r="2614" spans="1:7" ht="15.75" thickBot="1" x14ac:dyDescent="0.3">
      <c r="A2614" s="64"/>
      <c r="B2614" s="64"/>
      <c r="C2614" s="64"/>
      <c r="D2614" s="64"/>
      <c r="E2614" s="64"/>
      <c r="F2614" s="64"/>
      <c r="G2614" s="64"/>
    </row>
    <row r="2615" spans="1:7" ht="34.5" thickBot="1" x14ac:dyDescent="0.3">
      <c r="A2615" s="31" t="s">
        <v>18</v>
      </c>
      <c r="B2615" s="31" t="s">
        <v>19</v>
      </c>
      <c r="C2615" s="31" t="s">
        <v>20</v>
      </c>
      <c r="D2615" s="31" t="s">
        <v>21</v>
      </c>
      <c r="E2615" s="31" t="s">
        <v>22</v>
      </c>
      <c r="F2615" s="31" t="s">
        <v>23</v>
      </c>
      <c r="G2615" s="50"/>
    </row>
    <row r="2616" spans="1:7" ht="15.75" thickBot="1" x14ac:dyDescent="0.3">
      <c r="A2616" s="33" t="s">
        <v>160</v>
      </c>
      <c r="B2616" s="33" t="s">
        <v>160</v>
      </c>
      <c r="C2616" s="33" t="s">
        <v>26</v>
      </c>
      <c r="D2616" s="33" t="s">
        <v>75</v>
      </c>
      <c r="E2616" s="33" t="s">
        <v>53</v>
      </c>
      <c r="F2616" s="33"/>
      <c r="G2616" s="50"/>
    </row>
    <row r="2617" spans="1:7" ht="15.75" thickBot="1" x14ac:dyDescent="0.3">
      <c r="A2617" s="34" t="s">
        <v>28</v>
      </c>
      <c r="B2617" s="35" t="s">
        <v>29</v>
      </c>
      <c r="C2617" s="51">
        <v>44988</v>
      </c>
      <c r="D2617" s="34" t="s">
        <v>30</v>
      </c>
      <c r="E2617" s="35" t="s">
        <v>31</v>
      </c>
      <c r="F2617" s="33" t="s">
        <v>32</v>
      </c>
      <c r="G2617" s="50"/>
    </row>
    <row r="2618" spans="1:7" ht="15.75" thickBot="1" x14ac:dyDescent="0.3">
      <c r="A2618" s="39"/>
      <c r="B2618" s="35" t="s">
        <v>33</v>
      </c>
      <c r="C2618" s="52">
        <f>IF(C2617="","",IF(AND(MONTH(C2617)&gt;=1,MONTH(C2617)&lt;=3),1,IF(AND(MONTH(C2617)&gt;=4,MONTH(C2617)&lt;=6),2,IF(AND(MONTH(C2617)&gt;=7,MONTH(C2617)&lt;=9),3,4))))</f>
        <v>1</v>
      </c>
      <c r="D2618" s="39"/>
      <c r="E2618" s="35" t="s">
        <v>34</v>
      </c>
      <c r="F2618" s="33" t="s">
        <v>35</v>
      </c>
      <c r="G2618" s="50"/>
    </row>
    <row r="2619" spans="1:7" ht="15.75" thickBot="1" x14ac:dyDescent="0.3">
      <c r="A2619" s="39"/>
      <c r="B2619" s="35" t="s">
        <v>36</v>
      </c>
      <c r="C2619" s="51">
        <v>44998</v>
      </c>
      <c r="D2619" s="39"/>
      <c r="E2619" s="35" t="s">
        <v>37</v>
      </c>
      <c r="F2619" s="33" t="s">
        <v>35</v>
      </c>
      <c r="G2619" s="50"/>
    </row>
    <row r="2620" spans="1:7" ht="15.75" thickBot="1" x14ac:dyDescent="0.3">
      <c r="A2620" s="39"/>
      <c r="B2620" s="35" t="s">
        <v>33</v>
      </c>
      <c r="C2620" s="52">
        <f>IF(C2619="","",IF(AND(MONTH(C2619)&gt;=1,MONTH(C2619)&lt;=3),1,IF(AND(MONTH(C2619)&gt;=4,MONTH(C2619)&lt;=6),2,IF(AND(MONTH(C2619)&gt;=7,MONTH(C2619)&lt;=9),3,4))))</f>
        <v>1</v>
      </c>
      <c r="D2620" s="39"/>
      <c r="E2620" s="35" t="s">
        <v>38</v>
      </c>
      <c r="F2620" s="33" t="s">
        <v>35</v>
      </c>
      <c r="G2620" s="50"/>
    </row>
    <row r="2621" spans="1:7" ht="15.75" thickBot="1" x14ac:dyDescent="0.3">
      <c r="A2621" s="50"/>
      <c r="B2621" s="50"/>
      <c r="C2621" s="50"/>
      <c r="D2621" s="50"/>
      <c r="E2621" s="50"/>
      <c r="F2621" s="50"/>
      <c r="G2621" s="50"/>
    </row>
    <row r="2622" spans="1:7" ht="15.75" thickBot="1" x14ac:dyDescent="0.3">
      <c r="A2622" s="41" t="s">
        <v>39</v>
      </c>
      <c r="B2622" s="41" t="s">
        <v>40</v>
      </c>
      <c r="C2622" s="41" t="s">
        <v>41</v>
      </c>
      <c r="D2622" s="41" t="s">
        <v>42</v>
      </c>
      <c r="E2622" s="41" t="s">
        <v>43</v>
      </c>
      <c r="F2622" s="41" t="s">
        <v>44</v>
      </c>
      <c r="G2622" s="50"/>
    </row>
    <row r="2623" spans="1:7" x14ac:dyDescent="0.25">
      <c r="A2623" s="42">
        <v>15101506</v>
      </c>
      <c r="B2623" s="43" t="str">
        <f ca="1">IFERROR(INDEX(UNSPSCDes,MATCH(INDIRECT(ADDRESS(ROW(),COLUMN()-1,4)),UNSPSCCode,0)),"")</f>
        <v>Gasolina</v>
      </c>
      <c r="C2623" s="42" t="s">
        <v>46</v>
      </c>
      <c r="D2623" s="42">
        <v>1</v>
      </c>
      <c r="E2623" s="45">
        <v>3600000</v>
      </c>
      <c r="F2623" s="46">
        <f ca="1">INDIRECT(ADDRESS(ROW(),COLUMN()-2,4))*INDIRECT(ADDRESS(ROW(),COLUMN()-1,4))</f>
        <v>3600000</v>
      </c>
      <c r="G2623" s="50"/>
    </row>
    <row r="2624" spans="1:7" x14ac:dyDescent="0.25">
      <c r="A2624" s="50"/>
      <c r="B2624" s="50"/>
      <c r="C2624" s="50"/>
      <c r="D2624" s="50"/>
      <c r="E2624" s="54" t="s">
        <v>49</v>
      </c>
      <c r="F2624" s="49">
        <f ca="1">SUM(Table3181[MONTO TOTAL ESTIMADO])</f>
        <v>3600000</v>
      </c>
      <c r="G2624" s="50"/>
    </row>
    <row r="2625" spans="1:7" ht="15.75" thickBot="1" x14ac:dyDescent="0.3">
      <c r="A2625" s="64"/>
      <c r="B2625" s="64"/>
      <c r="C2625" s="64"/>
      <c r="D2625" s="64"/>
      <c r="E2625" s="64"/>
      <c r="F2625" s="64"/>
      <c r="G2625" s="64"/>
    </row>
    <row r="2626" spans="1:7" ht="34.5" thickBot="1" x14ac:dyDescent="0.3">
      <c r="A2626" s="31" t="s">
        <v>18</v>
      </c>
      <c r="B2626" s="31" t="s">
        <v>19</v>
      </c>
      <c r="C2626" s="31" t="s">
        <v>20</v>
      </c>
      <c r="D2626" s="31" t="s">
        <v>21</v>
      </c>
      <c r="E2626" s="31" t="s">
        <v>22</v>
      </c>
      <c r="F2626" s="31" t="s">
        <v>23</v>
      </c>
      <c r="G2626" s="50"/>
    </row>
    <row r="2627" spans="1:7" ht="15.75" thickBot="1" x14ac:dyDescent="0.3">
      <c r="A2627" s="33" t="s">
        <v>160</v>
      </c>
      <c r="B2627" s="33" t="s">
        <v>160</v>
      </c>
      <c r="C2627" s="33" t="s">
        <v>26</v>
      </c>
      <c r="D2627" s="33" t="s">
        <v>75</v>
      </c>
      <c r="E2627" s="33" t="s">
        <v>53</v>
      </c>
      <c r="F2627" s="33"/>
      <c r="G2627" s="50"/>
    </row>
    <row r="2628" spans="1:7" ht="15.75" thickBot="1" x14ac:dyDescent="0.3">
      <c r="A2628" s="34" t="s">
        <v>28</v>
      </c>
      <c r="B2628" s="35" t="s">
        <v>29</v>
      </c>
      <c r="C2628" s="51">
        <v>45141</v>
      </c>
      <c r="D2628" s="34" t="s">
        <v>30</v>
      </c>
      <c r="E2628" s="35" t="s">
        <v>31</v>
      </c>
      <c r="F2628" s="33" t="s">
        <v>32</v>
      </c>
      <c r="G2628" s="50"/>
    </row>
    <row r="2629" spans="1:7" ht="15.75" thickBot="1" x14ac:dyDescent="0.3">
      <c r="A2629" s="39"/>
      <c r="B2629" s="35" t="s">
        <v>33</v>
      </c>
      <c r="C2629" s="52">
        <f>IF(C2628="","",IF(AND(MONTH(C2628)&gt;=1,MONTH(C2628)&lt;=3),1,IF(AND(MONTH(C2628)&gt;=4,MONTH(C2628)&lt;=6),2,IF(AND(MONTH(C2628)&gt;=7,MONTH(C2628)&lt;=9),3,4))))</f>
        <v>3</v>
      </c>
      <c r="D2629" s="39"/>
      <c r="E2629" s="35" t="s">
        <v>34</v>
      </c>
      <c r="F2629" s="33" t="s">
        <v>35</v>
      </c>
      <c r="G2629" s="50"/>
    </row>
    <row r="2630" spans="1:7" ht="15.75" thickBot="1" x14ac:dyDescent="0.3">
      <c r="A2630" s="39"/>
      <c r="B2630" s="35" t="s">
        <v>36</v>
      </c>
      <c r="C2630" s="51">
        <v>45153</v>
      </c>
      <c r="D2630" s="39"/>
      <c r="E2630" s="35" t="s">
        <v>37</v>
      </c>
      <c r="F2630" s="33" t="s">
        <v>35</v>
      </c>
      <c r="G2630" s="50"/>
    </row>
    <row r="2631" spans="1:7" ht="15.75" thickBot="1" x14ac:dyDescent="0.3">
      <c r="A2631" s="39"/>
      <c r="B2631" s="35" t="s">
        <v>33</v>
      </c>
      <c r="C2631" s="52">
        <f>IF(C2630="","",IF(AND(MONTH(C2630)&gt;=1,MONTH(C2630)&lt;=3),1,IF(AND(MONTH(C2630)&gt;=4,MONTH(C2630)&lt;=6),2,IF(AND(MONTH(C2630)&gt;=7,MONTH(C2630)&lt;=9),3,4))))</f>
        <v>3</v>
      </c>
      <c r="D2631" s="39"/>
      <c r="E2631" s="35" t="s">
        <v>38</v>
      </c>
      <c r="F2631" s="33" t="s">
        <v>35</v>
      </c>
      <c r="G2631" s="50"/>
    </row>
    <row r="2632" spans="1:7" ht="15.75" thickBot="1" x14ac:dyDescent="0.3">
      <c r="A2632" s="50"/>
      <c r="B2632" s="50"/>
      <c r="C2632" s="50"/>
      <c r="D2632" s="50"/>
      <c r="E2632" s="50"/>
      <c r="F2632" s="50"/>
      <c r="G2632" s="50"/>
    </row>
    <row r="2633" spans="1:7" ht="15.75" thickBot="1" x14ac:dyDescent="0.3">
      <c r="A2633" s="41" t="s">
        <v>39</v>
      </c>
      <c r="B2633" s="41" t="s">
        <v>40</v>
      </c>
      <c r="C2633" s="41" t="s">
        <v>41</v>
      </c>
      <c r="D2633" s="41" t="s">
        <v>42</v>
      </c>
      <c r="E2633" s="41" t="s">
        <v>43</v>
      </c>
      <c r="F2633" s="41" t="s">
        <v>44</v>
      </c>
      <c r="G2633" s="50"/>
    </row>
    <row r="2634" spans="1:7" x14ac:dyDescent="0.25">
      <c r="A2634" s="42">
        <v>15101506</v>
      </c>
      <c r="B2634" s="43" t="str">
        <f ca="1">IFERROR(INDEX(UNSPSCDes,MATCH(INDIRECT(ADDRESS(ROW(),COLUMN()-1,4)),UNSPSCCode,0)),"")</f>
        <v>Gasolina</v>
      </c>
      <c r="C2634" s="42" t="s">
        <v>46</v>
      </c>
      <c r="D2634" s="42">
        <v>1</v>
      </c>
      <c r="E2634" s="45">
        <v>3600000</v>
      </c>
      <c r="F2634" s="46">
        <f ca="1">INDIRECT(ADDRESS(ROW(),COLUMN()-2,4))*INDIRECT(ADDRESS(ROW(),COLUMN()-1,4))</f>
        <v>3600000</v>
      </c>
      <c r="G2634" s="50"/>
    </row>
    <row r="2635" spans="1:7" x14ac:dyDescent="0.25">
      <c r="A2635" s="50"/>
      <c r="B2635" s="50"/>
      <c r="C2635" s="50"/>
      <c r="D2635" s="50"/>
      <c r="E2635" s="54" t="s">
        <v>49</v>
      </c>
      <c r="F2635" s="49">
        <f ca="1">SUM(Table3182[MONTO TOTAL ESTIMADO])</f>
        <v>3600000</v>
      </c>
      <c r="G2635" s="50"/>
    </row>
    <row r="2636" spans="1:7" ht="15.75" thickBot="1" x14ac:dyDescent="0.3">
      <c r="A2636" s="64"/>
      <c r="B2636" s="64"/>
      <c r="C2636" s="64"/>
      <c r="D2636" s="64"/>
      <c r="E2636" s="64"/>
      <c r="F2636" s="64"/>
      <c r="G2636" s="64"/>
    </row>
    <row r="2637" spans="1:7" ht="34.5" thickBot="1" x14ac:dyDescent="0.3">
      <c r="A2637" s="31" t="s">
        <v>18</v>
      </c>
      <c r="B2637" s="31" t="s">
        <v>19</v>
      </c>
      <c r="C2637" s="31" t="s">
        <v>20</v>
      </c>
      <c r="D2637" s="31" t="s">
        <v>21</v>
      </c>
      <c r="E2637" s="31" t="s">
        <v>22</v>
      </c>
      <c r="F2637" s="31" t="s">
        <v>23</v>
      </c>
      <c r="G2637" s="50"/>
    </row>
    <row r="2638" spans="1:7" ht="15.75" thickBot="1" x14ac:dyDescent="0.3">
      <c r="A2638" s="33" t="s">
        <v>161</v>
      </c>
      <c r="B2638" s="33" t="s">
        <v>162</v>
      </c>
      <c r="C2638" s="33" t="s">
        <v>74</v>
      </c>
      <c r="D2638" s="33" t="s">
        <v>163</v>
      </c>
      <c r="E2638" s="33" t="s">
        <v>53</v>
      </c>
      <c r="F2638" s="33"/>
      <c r="G2638" s="50"/>
    </row>
    <row r="2639" spans="1:7" ht="15.75" thickBot="1" x14ac:dyDescent="0.3">
      <c r="A2639" s="34" t="s">
        <v>28</v>
      </c>
      <c r="B2639" s="35" t="s">
        <v>29</v>
      </c>
      <c r="C2639" s="51">
        <v>45019</v>
      </c>
      <c r="D2639" s="34" t="s">
        <v>30</v>
      </c>
      <c r="E2639" s="35" t="s">
        <v>31</v>
      </c>
      <c r="F2639" s="33" t="s">
        <v>32</v>
      </c>
      <c r="G2639" s="50"/>
    </row>
    <row r="2640" spans="1:7" ht="15.75" thickBot="1" x14ac:dyDescent="0.3">
      <c r="A2640" s="39"/>
      <c r="B2640" s="35" t="s">
        <v>33</v>
      </c>
      <c r="C2640" s="52">
        <f>IF(C2639="","",IF(AND(MONTH(C2639)&gt;=1,MONTH(C2639)&lt;=3),1,IF(AND(MONTH(C2639)&gt;=4,MONTH(C2639)&lt;=6),2,IF(AND(MONTH(C2639)&gt;=7,MONTH(C2639)&lt;=9),3,4))))</f>
        <v>2</v>
      </c>
      <c r="D2640" s="39"/>
      <c r="E2640" s="35" t="s">
        <v>34</v>
      </c>
      <c r="F2640" s="33" t="s">
        <v>35</v>
      </c>
      <c r="G2640" s="50"/>
    </row>
    <row r="2641" spans="1:7" ht="15.75" thickBot="1" x14ac:dyDescent="0.3">
      <c r="A2641" s="39"/>
      <c r="B2641" s="35" t="s">
        <v>36</v>
      </c>
      <c r="C2641" s="51">
        <v>45030</v>
      </c>
      <c r="D2641" s="39"/>
      <c r="E2641" s="35" t="s">
        <v>37</v>
      </c>
      <c r="F2641" s="33" t="s">
        <v>35</v>
      </c>
      <c r="G2641" s="50"/>
    </row>
    <row r="2642" spans="1:7" ht="15.75" thickBot="1" x14ac:dyDescent="0.3">
      <c r="A2642" s="39"/>
      <c r="B2642" s="35" t="s">
        <v>33</v>
      </c>
      <c r="C2642" s="52">
        <f>IF(C2641="","",IF(AND(MONTH(C2641)&gt;=1,MONTH(C2641)&lt;=3),1,IF(AND(MONTH(C2641)&gt;=4,MONTH(C2641)&lt;=6),2,IF(AND(MONTH(C2641)&gt;=7,MONTH(C2641)&lt;=9),3,4))))</f>
        <v>2</v>
      </c>
      <c r="D2642" s="39"/>
      <c r="E2642" s="35" t="s">
        <v>38</v>
      </c>
      <c r="F2642" s="33" t="s">
        <v>35</v>
      </c>
      <c r="G2642" s="50"/>
    </row>
    <row r="2643" spans="1:7" ht="15.75" thickBot="1" x14ac:dyDescent="0.3">
      <c r="A2643" s="50"/>
      <c r="B2643" s="50"/>
      <c r="C2643" s="50"/>
      <c r="D2643" s="50"/>
      <c r="E2643" s="50"/>
      <c r="F2643" s="50"/>
      <c r="G2643" s="50"/>
    </row>
    <row r="2644" spans="1:7" ht="15.75" thickBot="1" x14ac:dyDescent="0.3">
      <c r="A2644" s="41" t="s">
        <v>39</v>
      </c>
      <c r="B2644" s="41" t="s">
        <v>40</v>
      </c>
      <c r="C2644" s="41" t="s">
        <v>41</v>
      </c>
      <c r="D2644" s="41" t="s">
        <v>42</v>
      </c>
      <c r="E2644" s="41" t="s">
        <v>43</v>
      </c>
      <c r="F2644" s="41" t="s">
        <v>44</v>
      </c>
      <c r="G2644" s="50"/>
    </row>
    <row r="2645" spans="1:7" ht="33.75" x14ac:dyDescent="0.25">
      <c r="A2645" s="42">
        <v>50192701</v>
      </c>
      <c r="B2645" s="43" t="str">
        <f ca="1">IFERROR(INDEX(UNSPSCDes,MATCH(INDIRECT(ADDRESS(ROW(),COLUMN()-1,4)),UNSPSCCode,0)),"")</f>
        <v>Comidas combinadas frescas</v>
      </c>
      <c r="C2645" s="42" t="s">
        <v>46</v>
      </c>
      <c r="D2645" s="42">
        <v>15550</v>
      </c>
      <c r="E2645" s="45">
        <v>275</v>
      </c>
      <c r="F2645" s="46">
        <f ca="1">INDIRECT(ADDRESS(ROW(),COLUMN()-2,4))*INDIRECT(ADDRESS(ROW(),COLUMN()-1,4))</f>
        <v>4276250</v>
      </c>
      <c r="G2645" s="50"/>
    </row>
    <row r="2646" spans="1:7" x14ac:dyDescent="0.25">
      <c r="A2646" s="50"/>
      <c r="B2646" s="50"/>
      <c r="C2646" s="50"/>
      <c r="D2646" s="50"/>
      <c r="E2646" s="54" t="s">
        <v>49</v>
      </c>
      <c r="F2646" s="49">
        <f ca="1">SUM(Table3183[MONTO TOTAL ESTIMADO])</f>
        <v>4276250</v>
      </c>
      <c r="G2646" s="50"/>
    </row>
    <row r="2647" spans="1:7" ht="15.75" thickBot="1" x14ac:dyDescent="0.3">
      <c r="A2647" s="64"/>
      <c r="B2647" s="64"/>
      <c r="C2647" s="64"/>
      <c r="D2647" s="64"/>
      <c r="E2647" s="64"/>
      <c r="F2647" s="64"/>
      <c r="G2647" s="64"/>
    </row>
    <row r="2648" spans="1:7" ht="34.5" thickBot="1" x14ac:dyDescent="0.3">
      <c r="A2648" s="31" t="s">
        <v>18</v>
      </c>
      <c r="B2648" s="31" t="s">
        <v>19</v>
      </c>
      <c r="C2648" s="31" t="s">
        <v>20</v>
      </c>
      <c r="D2648" s="31" t="s">
        <v>21</v>
      </c>
      <c r="E2648" s="31" t="s">
        <v>22</v>
      </c>
      <c r="F2648" s="31" t="s">
        <v>23</v>
      </c>
      <c r="G2648" s="50"/>
    </row>
    <row r="2649" spans="1:7" ht="15.75" thickBot="1" x14ac:dyDescent="0.3">
      <c r="A2649" s="33" t="s">
        <v>161</v>
      </c>
      <c r="B2649" s="33" t="s">
        <v>162</v>
      </c>
      <c r="C2649" s="33" t="s">
        <v>74</v>
      </c>
      <c r="D2649" s="33" t="s">
        <v>163</v>
      </c>
      <c r="E2649" s="33" t="s">
        <v>53</v>
      </c>
      <c r="F2649" s="33"/>
      <c r="G2649" s="50"/>
    </row>
    <row r="2650" spans="1:7" ht="15.75" thickBot="1" x14ac:dyDescent="0.3">
      <c r="A2650" s="34" t="s">
        <v>28</v>
      </c>
      <c r="B2650" s="35" t="s">
        <v>29</v>
      </c>
      <c r="C2650" s="51">
        <v>45170</v>
      </c>
      <c r="D2650" s="34" t="s">
        <v>30</v>
      </c>
      <c r="E2650" s="35" t="s">
        <v>31</v>
      </c>
      <c r="F2650" s="33" t="s">
        <v>32</v>
      </c>
      <c r="G2650" s="50"/>
    </row>
    <row r="2651" spans="1:7" ht="15.75" thickBot="1" x14ac:dyDescent="0.3">
      <c r="A2651" s="39"/>
      <c r="B2651" s="35" t="s">
        <v>33</v>
      </c>
      <c r="C2651" s="52">
        <f>IF(C2650="","",IF(AND(MONTH(C2650)&gt;=1,MONTH(C2650)&lt;=3),1,IF(AND(MONTH(C2650)&gt;=4,MONTH(C2650)&lt;=6),2,IF(AND(MONTH(C2650)&gt;=7,MONTH(C2650)&lt;=9),3,4))))</f>
        <v>3</v>
      </c>
      <c r="D2651" s="39"/>
      <c r="E2651" s="35" t="s">
        <v>34</v>
      </c>
      <c r="F2651" s="33" t="s">
        <v>35</v>
      </c>
      <c r="G2651" s="50"/>
    </row>
    <row r="2652" spans="1:7" ht="15.75" thickBot="1" x14ac:dyDescent="0.3">
      <c r="A2652" s="39"/>
      <c r="B2652" s="35" t="s">
        <v>36</v>
      </c>
      <c r="C2652" s="51">
        <v>45181</v>
      </c>
      <c r="D2652" s="39"/>
      <c r="E2652" s="35" t="s">
        <v>37</v>
      </c>
      <c r="F2652" s="33" t="s">
        <v>35</v>
      </c>
      <c r="G2652" s="50"/>
    </row>
    <row r="2653" spans="1:7" ht="15.75" thickBot="1" x14ac:dyDescent="0.3">
      <c r="A2653" s="39"/>
      <c r="B2653" s="35" t="s">
        <v>33</v>
      </c>
      <c r="C2653" s="52">
        <f>IF(C2652="","",IF(AND(MONTH(C2652)&gt;=1,MONTH(C2652)&lt;=3),1,IF(AND(MONTH(C2652)&gt;=4,MONTH(C2652)&lt;=6),2,IF(AND(MONTH(C2652)&gt;=7,MONTH(C2652)&lt;=9),3,4))))</f>
        <v>3</v>
      </c>
      <c r="D2653" s="39"/>
      <c r="E2653" s="35" t="s">
        <v>38</v>
      </c>
      <c r="F2653" s="33" t="s">
        <v>35</v>
      </c>
      <c r="G2653" s="50"/>
    </row>
    <row r="2654" spans="1:7" ht="15.75" thickBot="1" x14ac:dyDescent="0.3">
      <c r="A2654" s="50"/>
      <c r="B2654" s="50"/>
      <c r="C2654" s="50"/>
      <c r="D2654" s="50"/>
      <c r="E2654" s="50"/>
      <c r="F2654" s="50"/>
      <c r="G2654" s="50"/>
    </row>
    <row r="2655" spans="1:7" ht="15.75" thickBot="1" x14ac:dyDescent="0.3">
      <c r="A2655" s="41" t="s">
        <v>39</v>
      </c>
      <c r="B2655" s="41" t="s">
        <v>40</v>
      </c>
      <c r="C2655" s="41" t="s">
        <v>41</v>
      </c>
      <c r="D2655" s="41" t="s">
        <v>42</v>
      </c>
      <c r="E2655" s="41" t="s">
        <v>43</v>
      </c>
      <c r="F2655" s="41" t="s">
        <v>44</v>
      </c>
      <c r="G2655" s="50"/>
    </row>
    <row r="2656" spans="1:7" ht="33.75" x14ac:dyDescent="0.25">
      <c r="A2656" s="42">
        <v>50192701</v>
      </c>
      <c r="B2656" s="43" t="str">
        <f ca="1">IFERROR(INDEX(UNSPSCDes,MATCH(INDIRECT(ADDRESS(ROW(),COLUMN()-1,4)),UNSPSCCode,0)),"")</f>
        <v>Comidas combinadas frescas</v>
      </c>
      <c r="C2656" s="42" t="s">
        <v>46</v>
      </c>
      <c r="D2656" s="42">
        <v>15550</v>
      </c>
      <c r="E2656" s="45">
        <v>275</v>
      </c>
      <c r="F2656" s="46">
        <f ca="1">INDIRECT(ADDRESS(ROW(),COLUMN()-2,4))*INDIRECT(ADDRESS(ROW(),COLUMN()-1,4))</f>
        <v>4276250</v>
      </c>
      <c r="G2656" s="50"/>
    </row>
    <row r="2657" spans="1:7" x14ac:dyDescent="0.25">
      <c r="A2657" s="50"/>
      <c r="B2657" s="50"/>
      <c r="C2657" s="50"/>
      <c r="D2657" s="50"/>
      <c r="E2657" s="54" t="s">
        <v>49</v>
      </c>
      <c r="F2657" s="49">
        <f ca="1">SUM(Table3184[MONTO TOTAL ESTIMADO])</f>
        <v>4276250</v>
      </c>
      <c r="G2657" s="50"/>
    </row>
    <row r="2658" spans="1:7" x14ac:dyDescent="0.25">
      <c r="A2658" s="64"/>
      <c r="B2658" s="64"/>
      <c r="C2658" s="64"/>
      <c r="D2658" s="64"/>
      <c r="E2658" s="64"/>
      <c r="F2658" s="64"/>
      <c r="G2658" s="64"/>
    </row>
    <row r="2659" spans="1:7" ht="16.5" x14ac:dyDescent="0.25">
      <c r="A2659" s="30"/>
      <c r="B2659" s="30"/>
      <c r="C2659" s="30"/>
      <c r="D2659" s="30"/>
      <c r="E2659" s="30"/>
      <c r="F2659" s="30"/>
      <c r="G2659" s="30"/>
    </row>
    <row r="2660" spans="1:7" ht="16.5" x14ac:dyDescent="0.25">
      <c r="A2660" s="30"/>
      <c r="B2660" s="30"/>
      <c r="C2660" s="30"/>
      <c r="D2660" s="30"/>
      <c r="E2660" s="30"/>
      <c r="F2660" s="30"/>
      <c r="G2660" s="30"/>
    </row>
    <row r="2661" spans="1:7" ht="16.5" x14ac:dyDescent="0.25">
      <c r="A2661" s="30"/>
      <c r="B2661" s="30"/>
      <c r="C2661" s="30"/>
      <c r="D2661" s="30"/>
      <c r="E2661" s="30"/>
      <c r="F2661" s="30"/>
      <c r="G2661" s="30"/>
    </row>
    <row r="2662" spans="1:7" ht="16.5" x14ac:dyDescent="0.25">
      <c r="A2662" s="30"/>
      <c r="B2662" s="30"/>
      <c r="C2662" s="30"/>
      <c r="D2662" s="30"/>
      <c r="E2662" s="30"/>
      <c r="F2662" s="30"/>
      <c r="G2662" s="30"/>
    </row>
    <row r="2663" spans="1:7" ht="16.5" x14ac:dyDescent="0.25">
      <c r="A2663" s="30"/>
      <c r="B2663" s="30"/>
      <c r="C2663" s="30"/>
      <c r="D2663" s="30"/>
      <c r="E2663" s="30"/>
      <c r="F2663" s="30"/>
      <c r="G2663" s="30"/>
    </row>
  </sheetData>
  <protectedRanges>
    <protectedRange sqref="F5:G5" name="Rango3"/>
    <protectedRange sqref="E11:E12" name="Rango2"/>
  </protectedRanges>
  <mergeCells count="374">
    <mergeCell ref="A2650:A2653"/>
    <mergeCell ref="D2650:D2653"/>
    <mergeCell ref="A2617:A2620"/>
    <mergeCell ref="D2617:D2620"/>
    <mergeCell ref="A2628:A2631"/>
    <mergeCell ref="D2628:D2631"/>
    <mergeCell ref="A2639:A2642"/>
    <mergeCell ref="D2639:D2642"/>
    <mergeCell ref="A2584:A2587"/>
    <mergeCell ref="D2584:D2587"/>
    <mergeCell ref="A2595:A2598"/>
    <mergeCell ref="D2595:D2598"/>
    <mergeCell ref="A2606:A2609"/>
    <mergeCell ref="D2606:D2609"/>
    <mergeCell ref="A2550:A2553"/>
    <mergeCell ref="D2550:D2553"/>
    <mergeCell ref="A2561:A2564"/>
    <mergeCell ref="D2561:D2564"/>
    <mergeCell ref="A2573:A2576"/>
    <mergeCell ref="D2573:D2576"/>
    <mergeCell ref="A2517:A2520"/>
    <mergeCell ref="D2517:D2520"/>
    <mergeCell ref="A2528:A2531"/>
    <mergeCell ref="D2528:D2531"/>
    <mergeCell ref="A2539:A2542"/>
    <mergeCell ref="D2539:D2542"/>
    <mergeCell ref="A2484:A2487"/>
    <mergeCell ref="D2484:D2487"/>
    <mergeCell ref="A2495:A2498"/>
    <mergeCell ref="D2495:D2498"/>
    <mergeCell ref="A2506:A2509"/>
    <mergeCell ref="D2506:D2509"/>
    <mergeCell ref="A2451:A2454"/>
    <mergeCell ref="D2451:D2454"/>
    <mergeCell ref="A2462:A2465"/>
    <mergeCell ref="D2462:D2465"/>
    <mergeCell ref="A2473:A2476"/>
    <mergeCell ref="D2473:D2476"/>
    <mergeCell ref="A2418:A2421"/>
    <mergeCell ref="D2418:D2421"/>
    <mergeCell ref="A2429:A2432"/>
    <mergeCell ref="D2429:D2432"/>
    <mergeCell ref="A2440:A2443"/>
    <mergeCell ref="D2440:D2443"/>
    <mergeCell ref="A2385:A2388"/>
    <mergeCell ref="D2385:D2388"/>
    <mergeCell ref="A2396:A2399"/>
    <mergeCell ref="D2396:D2399"/>
    <mergeCell ref="A2407:A2410"/>
    <mergeCell ref="D2407:D2410"/>
    <mergeCell ref="A2351:A2354"/>
    <mergeCell ref="D2351:D2354"/>
    <mergeCell ref="A2363:A2366"/>
    <mergeCell ref="D2363:D2366"/>
    <mergeCell ref="A2374:A2377"/>
    <mergeCell ref="D2374:D2377"/>
    <mergeCell ref="A2314:A2317"/>
    <mergeCell ref="D2314:D2317"/>
    <mergeCell ref="A2328:A2331"/>
    <mergeCell ref="D2328:D2331"/>
    <mergeCell ref="A2340:A2343"/>
    <mergeCell ref="D2340:D2343"/>
    <mergeCell ref="A2243:A2246"/>
    <mergeCell ref="D2243:D2246"/>
    <mergeCell ref="A2255:A2258"/>
    <mergeCell ref="D2255:D2258"/>
    <mergeCell ref="A2299:A2302"/>
    <mergeCell ref="D2299:D2302"/>
    <mergeCell ref="A2078:A2081"/>
    <mergeCell ref="D2078:D2081"/>
    <mergeCell ref="A2188:A2191"/>
    <mergeCell ref="D2188:D2191"/>
    <mergeCell ref="A2209:A2212"/>
    <mergeCell ref="D2209:D2212"/>
    <mergeCell ref="A2040:A2043"/>
    <mergeCell ref="D2040:D2043"/>
    <mergeCell ref="A2052:A2055"/>
    <mergeCell ref="D2052:D2055"/>
    <mergeCell ref="A2066:A2069"/>
    <mergeCell ref="D2066:D2069"/>
    <mergeCell ref="A2007:A2010"/>
    <mergeCell ref="D2007:D2010"/>
    <mergeCell ref="A2018:A2021"/>
    <mergeCell ref="D2018:D2021"/>
    <mergeCell ref="A2029:A2032"/>
    <mergeCell ref="D2029:D2032"/>
    <mergeCell ref="A1974:A1977"/>
    <mergeCell ref="D1974:D1977"/>
    <mergeCell ref="A1985:A1988"/>
    <mergeCell ref="D1985:D1988"/>
    <mergeCell ref="A1996:A1999"/>
    <mergeCell ref="D1996:D1999"/>
    <mergeCell ref="A1941:A1944"/>
    <mergeCell ref="D1941:D1944"/>
    <mergeCell ref="A1952:A1955"/>
    <mergeCell ref="D1952:D1955"/>
    <mergeCell ref="A1963:A1966"/>
    <mergeCell ref="D1963:D1966"/>
    <mergeCell ref="A1907:A1910"/>
    <mergeCell ref="D1907:D1910"/>
    <mergeCell ref="A1919:A1922"/>
    <mergeCell ref="D1919:D1922"/>
    <mergeCell ref="A1930:A1933"/>
    <mergeCell ref="D1930:D1933"/>
    <mergeCell ref="A1872:A1875"/>
    <mergeCell ref="D1872:D1875"/>
    <mergeCell ref="A1883:A1886"/>
    <mergeCell ref="D1883:D1886"/>
    <mergeCell ref="A1894:A1897"/>
    <mergeCell ref="D1894:D1897"/>
    <mergeCell ref="A1838:A1841"/>
    <mergeCell ref="D1838:D1841"/>
    <mergeCell ref="A1849:A1852"/>
    <mergeCell ref="D1849:D1852"/>
    <mergeCell ref="A1861:A1864"/>
    <mergeCell ref="D1861:D1864"/>
    <mergeCell ref="A1798:A1801"/>
    <mergeCell ref="D1798:D1801"/>
    <mergeCell ref="A1814:A1817"/>
    <mergeCell ref="D1814:D1817"/>
    <mergeCell ref="A1827:A1830"/>
    <mergeCell ref="D1827:D1830"/>
    <mergeCell ref="A1718:A1721"/>
    <mergeCell ref="D1718:D1721"/>
    <mergeCell ref="A1747:A1750"/>
    <mergeCell ref="D1747:D1750"/>
    <mergeCell ref="A1783:A1786"/>
    <mergeCell ref="D1783:D1786"/>
    <mergeCell ref="A1671:A1674"/>
    <mergeCell ref="D1671:D1674"/>
    <mergeCell ref="A1685:A1688"/>
    <mergeCell ref="D1685:D1688"/>
    <mergeCell ref="A1706:A1709"/>
    <mergeCell ref="D1706:D1709"/>
    <mergeCell ref="A1584:A1587"/>
    <mergeCell ref="D1584:D1587"/>
    <mergeCell ref="A1595:A1598"/>
    <mergeCell ref="D1595:D1598"/>
    <mergeCell ref="A1606:A1609"/>
    <mergeCell ref="D1606:D1609"/>
    <mergeCell ref="A1550:A1553"/>
    <mergeCell ref="D1550:D1553"/>
    <mergeCell ref="A1562:A1565"/>
    <mergeCell ref="D1562:D1565"/>
    <mergeCell ref="A1573:A1576"/>
    <mergeCell ref="D1573:D1576"/>
    <mergeCell ref="A1513:A1516"/>
    <mergeCell ref="D1513:D1516"/>
    <mergeCell ref="A1527:A1530"/>
    <mergeCell ref="D1527:D1530"/>
    <mergeCell ref="A1538:A1541"/>
    <mergeCell ref="D1538:D1541"/>
    <mergeCell ref="A1477:A1480"/>
    <mergeCell ref="D1477:D1480"/>
    <mergeCell ref="A1488:A1491"/>
    <mergeCell ref="D1488:D1491"/>
    <mergeCell ref="A1502:A1505"/>
    <mergeCell ref="D1502:D1505"/>
    <mergeCell ref="A1441:A1444"/>
    <mergeCell ref="D1441:D1444"/>
    <mergeCell ref="A1452:A1455"/>
    <mergeCell ref="D1452:D1455"/>
    <mergeCell ref="A1465:A1468"/>
    <mergeCell ref="D1465:D1468"/>
    <mergeCell ref="A1408:A1411"/>
    <mergeCell ref="D1408:D1411"/>
    <mergeCell ref="A1419:A1422"/>
    <mergeCell ref="D1419:D1422"/>
    <mergeCell ref="A1430:A1433"/>
    <mergeCell ref="D1430:D1433"/>
    <mergeCell ref="A1373:A1376"/>
    <mergeCell ref="D1373:D1376"/>
    <mergeCell ref="A1384:A1387"/>
    <mergeCell ref="D1384:D1387"/>
    <mergeCell ref="A1397:A1400"/>
    <mergeCell ref="D1397:D1400"/>
    <mergeCell ref="A1340:A1343"/>
    <mergeCell ref="D1340:D1343"/>
    <mergeCell ref="A1351:A1354"/>
    <mergeCell ref="D1351:D1354"/>
    <mergeCell ref="A1362:A1365"/>
    <mergeCell ref="D1362:D1365"/>
    <mergeCell ref="A1303:A1306"/>
    <mergeCell ref="D1303:D1306"/>
    <mergeCell ref="A1314:A1317"/>
    <mergeCell ref="D1314:D1317"/>
    <mergeCell ref="A1329:A1332"/>
    <mergeCell ref="D1329:D1332"/>
    <mergeCell ref="A1265:A1268"/>
    <mergeCell ref="D1265:D1268"/>
    <mergeCell ref="A1281:A1284"/>
    <mergeCell ref="D1281:D1284"/>
    <mergeCell ref="A1292:A1295"/>
    <mergeCell ref="D1292:D1295"/>
    <mergeCell ref="A1231:A1234"/>
    <mergeCell ref="D1231:D1234"/>
    <mergeCell ref="A1242:A1245"/>
    <mergeCell ref="D1242:D1245"/>
    <mergeCell ref="A1254:A1257"/>
    <mergeCell ref="D1254:D1257"/>
    <mergeCell ref="A1198:A1201"/>
    <mergeCell ref="D1198:D1201"/>
    <mergeCell ref="A1209:A1212"/>
    <mergeCell ref="D1209:D1212"/>
    <mergeCell ref="A1220:A1223"/>
    <mergeCell ref="D1220:D1223"/>
    <mergeCell ref="A1163:A1166"/>
    <mergeCell ref="D1163:D1166"/>
    <mergeCell ref="A1174:A1177"/>
    <mergeCell ref="D1174:D1177"/>
    <mergeCell ref="A1186:A1189"/>
    <mergeCell ref="D1186:D1189"/>
    <mergeCell ref="A1109:A1112"/>
    <mergeCell ref="D1109:D1112"/>
    <mergeCell ref="A1136:A1139"/>
    <mergeCell ref="D1136:D1139"/>
    <mergeCell ref="A1150:A1153"/>
    <mergeCell ref="D1150:D1153"/>
    <mergeCell ref="A1055:A1058"/>
    <mergeCell ref="D1055:D1058"/>
    <mergeCell ref="A1071:A1074"/>
    <mergeCell ref="D1071:D1074"/>
    <mergeCell ref="A1097:A1100"/>
    <mergeCell ref="D1097:D1100"/>
    <mergeCell ref="A998:A1001"/>
    <mergeCell ref="D998:D1001"/>
    <mergeCell ref="A1010:A1013"/>
    <mergeCell ref="D1010:D1013"/>
    <mergeCell ref="A1021:A1024"/>
    <mergeCell ref="D1021:D1024"/>
    <mergeCell ref="A965:A968"/>
    <mergeCell ref="D965:D968"/>
    <mergeCell ref="A976:A979"/>
    <mergeCell ref="D976:D979"/>
    <mergeCell ref="A987:A990"/>
    <mergeCell ref="D987:D990"/>
    <mergeCell ref="A928:A931"/>
    <mergeCell ref="D928:D931"/>
    <mergeCell ref="A940:A943"/>
    <mergeCell ref="D940:D943"/>
    <mergeCell ref="A954:A957"/>
    <mergeCell ref="D954:D957"/>
    <mergeCell ref="A882:A885"/>
    <mergeCell ref="D882:D885"/>
    <mergeCell ref="A902:A905"/>
    <mergeCell ref="D902:D905"/>
    <mergeCell ref="A913:A916"/>
    <mergeCell ref="D913:D916"/>
    <mergeCell ref="A845:A848"/>
    <mergeCell ref="D845:D848"/>
    <mergeCell ref="A860:A863"/>
    <mergeCell ref="D860:D863"/>
    <mergeCell ref="A871:A874"/>
    <mergeCell ref="D871:D874"/>
    <mergeCell ref="A811:A814"/>
    <mergeCell ref="D811:D814"/>
    <mergeCell ref="A823:A826"/>
    <mergeCell ref="D823:D826"/>
    <mergeCell ref="A834:A837"/>
    <mergeCell ref="D834:D837"/>
    <mergeCell ref="A778:A781"/>
    <mergeCell ref="D778:D781"/>
    <mergeCell ref="A789:A792"/>
    <mergeCell ref="D789:D792"/>
    <mergeCell ref="A800:A803"/>
    <mergeCell ref="D800:D803"/>
    <mergeCell ref="A743:A746"/>
    <mergeCell ref="D743:D746"/>
    <mergeCell ref="A756:A759"/>
    <mergeCell ref="D756:D759"/>
    <mergeCell ref="A767:A770"/>
    <mergeCell ref="D767:D770"/>
    <mergeCell ref="A693:A696"/>
    <mergeCell ref="D693:D696"/>
    <mergeCell ref="A706:A709"/>
    <mergeCell ref="D706:D709"/>
    <mergeCell ref="A721:A724"/>
    <mergeCell ref="D721:D724"/>
    <mergeCell ref="A659:A662"/>
    <mergeCell ref="D659:D662"/>
    <mergeCell ref="A671:A674"/>
    <mergeCell ref="D671:D674"/>
    <mergeCell ref="A682:A685"/>
    <mergeCell ref="D682:D685"/>
    <mergeCell ref="A626:A629"/>
    <mergeCell ref="D626:D629"/>
    <mergeCell ref="A637:A640"/>
    <mergeCell ref="D637:D640"/>
    <mergeCell ref="A648:A651"/>
    <mergeCell ref="D648:D651"/>
    <mergeCell ref="A591:A594"/>
    <mergeCell ref="D591:D594"/>
    <mergeCell ref="A602:A605"/>
    <mergeCell ref="D602:D605"/>
    <mergeCell ref="A613:A616"/>
    <mergeCell ref="D613:D616"/>
    <mergeCell ref="A558:A561"/>
    <mergeCell ref="D558:D561"/>
    <mergeCell ref="A569:A572"/>
    <mergeCell ref="D569:D572"/>
    <mergeCell ref="A580:A583"/>
    <mergeCell ref="D580:D583"/>
    <mergeCell ref="A523:A526"/>
    <mergeCell ref="D523:D526"/>
    <mergeCell ref="A536:A539"/>
    <mergeCell ref="D536:D539"/>
    <mergeCell ref="A547:A550"/>
    <mergeCell ref="D547:D550"/>
    <mergeCell ref="A490:A493"/>
    <mergeCell ref="D490:D493"/>
    <mergeCell ref="A501:A504"/>
    <mergeCell ref="D501:D504"/>
    <mergeCell ref="A512:A515"/>
    <mergeCell ref="D512:D515"/>
    <mergeCell ref="A456:A459"/>
    <mergeCell ref="D456:D459"/>
    <mergeCell ref="A467:A470"/>
    <mergeCell ref="D467:D470"/>
    <mergeCell ref="A478:A481"/>
    <mergeCell ref="D478:D481"/>
    <mergeCell ref="A421:A424"/>
    <mergeCell ref="D421:D424"/>
    <mergeCell ref="A432:A435"/>
    <mergeCell ref="D432:D435"/>
    <mergeCell ref="A445:A448"/>
    <mergeCell ref="D445:D448"/>
    <mergeCell ref="A386:A389"/>
    <mergeCell ref="D386:D389"/>
    <mergeCell ref="A397:A400"/>
    <mergeCell ref="D397:D400"/>
    <mergeCell ref="A408:A411"/>
    <mergeCell ref="D408:D411"/>
    <mergeCell ref="A350:A353"/>
    <mergeCell ref="D350:D353"/>
    <mergeCell ref="A361:A364"/>
    <mergeCell ref="D361:D364"/>
    <mergeCell ref="A372:A375"/>
    <mergeCell ref="D372:D375"/>
    <mergeCell ref="A314:A317"/>
    <mergeCell ref="D314:D317"/>
    <mergeCell ref="A325:A328"/>
    <mergeCell ref="D325:D328"/>
    <mergeCell ref="A336:A339"/>
    <mergeCell ref="D336:D339"/>
    <mergeCell ref="A253:A256"/>
    <mergeCell ref="D253:D256"/>
    <mergeCell ref="A291:A294"/>
    <mergeCell ref="D291:D294"/>
    <mergeCell ref="A303:A306"/>
    <mergeCell ref="D303:D306"/>
    <mergeCell ref="A179:A182"/>
    <mergeCell ref="D179:D182"/>
    <mergeCell ref="A226:A229"/>
    <mergeCell ref="D226:D229"/>
    <mergeCell ref="A239:A242"/>
    <mergeCell ref="D239:D242"/>
    <mergeCell ref="A115:A118"/>
    <mergeCell ref="D115:D118"/>
    <mergeCell ref="A136:A139"/>
    <mergeCell ref="D136:D139"/>
    <mergeCell ref="A148:A151"/>
    <mergeCell ref="D148:D151"/>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564:E564 D142:E143 D154:E174 D414:E416 D185:E221 D232:E234 D245:E248 D484:E485 D297:E298 D309:E309 D320:E320 D331:E331 D392:E392 D356:E356 D367:E367 D619:E621 D342:E345 D403:E403 D23:E110 D427:E427 D542:E542 D451:E451 D462:E462 D473:E473 D121:E131 D496:E496 D507:E507 D518:E518 D529:E531 D438:E440 D553:E553 D259:E286 D575:E575 D586:E586 D597:E597 D608:E608 D378:E381 D632:E632 D643:E643 D654:E654 D665:E666 D677:E677 D688:E688 D699:E701 D712:E716 D727:E738 D749:E751 D762:E762 D773:E773 D784:E784 D795:E795 D806:E806 D817:E818 D829:E829 D840:E840 D851:E855 D866:E866 D877:E877 D888:E897 D908:E908 D919:E923 D971:E971 D946:E949 D960:E960 D934:E935 D982:E982 D993:E993 D1004:E1005 D1016:E1016 D1061:E1066 D1103:E1104 D1142:E1145 D1115:E1131 D1077:E1092 D1027:E1050 D1156:E1158 D1169:E1169 D1180:E1181 D1192:E1193 D1204:E1204 D1215:E1215 D1226:E1226 D1237:E1237 D1248:E1249 D1260:E1260 D1271:E1276 D1287:E1287 D1298:E1298 D1309:E1309 D1379:E1379 D1335:E1335 D1346:E1346 D1357:E1357 D1368:E1368 D1425:E1425 D1390:E1392 D1403:E1403 D1414:E1414 D1447:E1447 D1436:E1436 D1320:E1324 D1458:E1460 D1471:E1472 D1483:E1483 D1544:E1545 D1508:E1508 D1519:E1522 D1533:E1533 D1494:E1497 D1556:E1557 D1568:E1568 D1579:E1579 D1590:E1590 D1601:E1601 D1753:E1778 D1677:E1680 D1691:E1701 D1712:E1713 D1789:E1793 D1612:E1666 D1724:E1742 D1804:E1809 D1820:E1822 D1833:E1833 D1844:E1844 D1855:E1856 D1867:E1867 D1878:E1878 D1889:E1889 D1969:E1969 D1913:E1914 D1925:E1925 D1936:E1936 D1947:E1947 D1958:E1958 D1900:E1902 D1980:E1980 D1991:E1991 D2002:E2002 D2013:E2013 D2024:E2024 D2035:E2035 D2046:E2047 D2058:E2061 D2072:E2073 D2084:E2183 D2194:E2204 D2215:E2238 D2249:E2250 D2261:E2294 D2305:E2309 D2320:E2323 D2334:E2335 D2346:E2346 D2357:E2358 D2369:E2369 D2380:E2380 D2391:E2391 D2402:E2402 D2413:E2413 D2424:E2424 D2435:E2435 D2446:E2446 D2457:E2457 D2468:E2468 D2479:E2479 D2490:E2490 D2501:E2501 D2512:E2512 D2523:E2523 D2534:E2534 D2545:E2545 D2556:E2556 D2567:E2568 D2579:E2579 D2590:E2590 D2601:E2601 D2612:E2612 D2623:E2623 D2634:E2634 D2645:E2645 D2656:E2656">
      <formula1>0</formula1>
    </dataValidation>
    <dataValidation type="list" allowBlank="1" showInputMessage="1" showErrorMessage="1" sqref="C564 C142:C143 C154:C174 C414:C416 C185:C221 C232:C234 C245:C248 C484:C485 C297:C298 C309 C320 C331 C392 C356 C367 C619:C621 C342:C345 C403 C23:C110 C427 C542 C451 C462 C473 C121:C131 C496 C507 C518 C529:C531 C438:C440 C553 C259:C286 C575 C586 C597 C608 C378:C381 C632 C643 C654 C665:C666 C677 C688 C699:C701 C712:C716 C727:C738 C749:C751 C762 C773 C784 C795 C806 C817:C818 C829 C840 C851:C855 C866 C877 C888:C897 C908 C919:C923 C971 C946:C949 C960 C934:C935 C982 C993 C1004:C1005 C1016 C1061:C1066 C1103:C1104 C1142:C1145 C1115:C1131 C1077:C1092 C1027:C1050 C1156:C1158 C1169 C1180:C1181 C1192:C1193 C1204 C1215 C1226 C1237 C1248:C1249 C1260 C1271:C1276 C1287 C1298 C1309 C1379 C1335 C1346 C1357 C1368 C1425 C1390:C1392 C1403 C1414 C1447 C1436 C1320:C1324 C1458:C1460 C1471:C1472 C1483 C1544:C1545 C1508 C1519:C1522 C1533 C1494:C1497 C1556:C1557 C1568 C1579 C1590 C1601 C1753:C1778 C1677:C1680 C1691:C1701 C1712:C1713 C1789:C1793 C1612:C1666 C1724:C1742 C1804:C1809 C1820:C1822 C1833 C1844 C1855:C1856 C1867 C1878 C1889 C1969 C1913:C1914 C1925 C1936 C1947 C1958 C1900:C1902 C1980 C1991 C2002 C2013 C2024 C2035 C2046:C2047 C2058:C2061 C2072:C2073 C2084:C2183 C2194:C2204 C2215:C2238 C2249:C2250 C2261:C2294 C2305:C2309 C2320:C2323 C2334:C2335 C2346 C2357:C2358 C2369 C2380 C2391 C2402 C2413 C2424 C2435 C2446 C2457 C2468 C2479 C2490 C2501 C2512 C2523 C2534 C2545 C2556 C2567:C2568 C2579 C2590 C2601 C2612 C2623 C2634 C2645 C2656">
      <formula1>UnidadesList</formula1>
    </dataValidation>
    <dataValidation type="whole" operator="greaterThan" allowBlank="1" showInputMessage="1" showErrorMessage="1" sqref="A564 A142:A143 A154:A174 A414:A416 A185:A221 A232:A234 A245:A248 A484:A485 A297:A298 A309 A320 A331 A392 A356 A367 A619:A621 A342:A345 A403 A23:A110 A427 A542 A451 A462 A473 A121:A131 A496 A507 A518 A529:A531 A438:A440 A553 A259:A286 A575 A586 A597 A608 A378:A381 A632 A643 A654 A665:A666 A677 A688 A699:A701 A712:A716 A727:A738 A749:A751 A762 A773 A784 A795 A806 A817:A818 A829 A840 A851:A855 A866 A877 A888:A897 A908 A919:A923 A971 A946:A949 A960 A934:A935 A982 A993 A1004:A1005 A1016 A1061:A1066 A1103:A1104 A1142:A1145 A1115:A1131 A1077:A1092 A1027:A1050 A1156:A1158 A1169 A1180:A1181 A1192:A1193 A1204 A1215 A1226 A1237 A1248:A1249 A1260 A1271:A1276 A1287 A1298 A1309 A1379 A1335 A1346 A1357 A1368 A1425 A1390:A1392 A1403 A1414 A1447 A1436 A1320:A1324 A1458:A1460 A1471:A1472 A1483 A1544:A1545 A1508 A1519:A1522 A1533 A1494:A1497 A1556:A1557 A1568 A1579 A1590 A1601 A1753:A1778 A1677:A1680 A1691:A1701 A1712:A1713 A1789:A1793 A1612:A1666 A1724:A1742 A1804:A1809 A1820:A1822 A1833 A1844 A1855:A1856 A1867 A1878 A1889 A1969 A1913:A1914 A1925 A1936 A1947 A1958 A1900:A1902 A1980 A1991 A2002 A2013 A2024 A2035 A2046:A2047 A2058:A2061 A2072:A2073 A2084:A2183 A2194:A2204 A2215:A2238 A2249:A2250 A2261:A2294 A2305:A2309 A2320:A2323 A2334:A2335 A2346 A2357:A2358 A2369 A2380 A2391 A2402 A2413 A2424 A2435 A2446 A2457 A2468 A2479 A2490 A2501 A2512 A2523 A2534 A2545 A2556 A2567:A2568 A2579 A2590 A2601 A2612 A2623 A2634 A2645 A2656">
      <formula1>0</formula1>
    </dataValidation>
    <dataValidation type="list" allowBlank="1" showInputMessage="1" showErrorMessage="1" sqref="F20 F118 F139 F151 F182 F229 F242 F256 F294 F306 F317 F328 F339 F353 F364 F375 F389 F400 F411 F424 F435 F448 F459 F470 F481 F493 F504 F515 F526 F539 F550 F561 F572 F583 F594 F605 F616 F629 F640 F651 F662 F674 F685 F696 F709 F724 F746 F759 F770 F781 F792 F803 F814 F826 F837 F848 F863 F874 F885 F905 F916 F931 F943 F957 F968 F979 F990 F1001 F1013 F1024 F1058 F1074 F1100 F1112 F1139 F1153 F1166 F1177 F1189 F1201 F1212 F1223 F1234 F1245 F1257 F1268 F1284 F1295 F1306 F1317 F1332 F1343 F1354 F1365 F1376 F1387 F1400 F1411 F1422 F1433 F1444 F1455 F1468 F1480 F1491 F1505 F1516 F1530 F1541 F1553 F1565 F1576 F1587 F1598 F1609 F1674 F1688 F1709 F1721 F1750 F1786 F1801 F1817 F1830 F1841 F1852 F1864 F1875 F1886 F1897 F1910 F1922 F1933 F1944 F1955 F1966 F1977 F1988 F1999 F2010 F2021 F2032 F2043 F2055 F2069 F2081 F2191 F2212 F2246 F2258 F2302 F2317 F2331 F2343 F2354 F2366 F2377 F2388 F2399 F2410 F2421 F2432 F2443 F2454 F2465 F2476 F2487 F2498 F2509 F2520 F2531 F2542 F2553 F2564 F2576 F2587 F2598 F2609 F2620 F2631 F2642 F2653">
      <formula1>OFFSET(MunicipioStart,MATCH(INDIRECT(ADDRESS(ROW()-1,COLUMN(),4)),MunicipioColumn,0)-1,1,COUNTIF(MunicipioColumn,INDIRECT(ADDRESS(ROW()-1,COLUMN(),4))),1)</formula1>
    </dataValidation>
    <dataValidation type="list" allowBlank="1" showInputMessage="1" showErrorMessage="1" sqref="F19 F117 F138 F150 F181 F228 F241 F255 F293 F305 F316 F327 F338 F352 F363 F374 F388 F399 F410 F423 F434 F447 F458 F469 F480 F492 F503 F514 F525 F538 F549 F560 F571 F582 F593 F604 F615 F628 F639 F650 F661 F673 F684 F695 F708 F723 F745 F758 F769 F780 F791 F802 F813 F825 F836 F847 F862 F873 F884 F904 F915 F930 F942 F956 F967 F978 F989 F1000 F1012 F1023 F1057 F1073 F1099 F1111 F1138 F1152 F1165 F1176 F1188 F1200 F1211 F1222 F1233 F1244 F1256 F1267 F1283 F1294 F1305 F1316 F1331 F1342 F1353 F1364 F1375 F1386 F1399 F1410 F1421 F1432 F1443 F1454 F1467 F1479 F1490 F1504 F1515 F1529 F1540 F1552 F1564 F1575 F1586 F1597 F1608 F1673 F1687 F1708 F1720 F1749 F1785 F1800 F1816 F1829 F1840 F1851 F1863 F1874 F1885 F1896 F1909 F1921 F1932 F1943 F1954 F1965 F1976 F1987 F1998 F2009 F2020 F2031 F2042 F2054 F2068 F2080 F2190 F2211 F2245 F2257 F2301 F2316 F2330 F2342 F2353 F2365 F2376 F2387 F2398 F2409 F2420 F2431 F2442 F2453 F2464 F2475 F2486 F2497 F2508 F2519 F2530 F2541 F2552 F2563 F2575 F2586 F2597 F2608 F2619 F2630 F2641 F265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116 F137 F149 F180 F227 F240 F254 F292 F304 F315 F326 F337 F351 F362 F373 F387 F398 F409 F422 F433 F446 F457 F468 F479 F491 F502 F513 F524 F537 F548 F559 F570 F581 F592 F603 F614 F627 F638 F649 F660 F672 F683 F694 F707 F722 F744 F757 F768 F779 F790 F801 F812 F824 F835 F846 F861 F872 F883 F903 F914 F929 F941 F955 F966 F977 F988 F999 F1011 F1022 F1056 F1072 F1098 F1110 F1137 F1151 F1164 F1175 F1187 F1199 F1210 F1221 F1232 F1243 F1255 F1266 F1282 F1293 F1304 F1315 F1330 F1341 F1352 F1363 F1374 F1385 F1398 F1409 F1420 F1431 F1442 F1453 F1466 F1478 F1489 F1503 F1514 F1528 F1539 F1551 F1563 F1574 F1585 F1596 F1607 F1672 F1686 F1707 F1719 F1748 F1784 F1799 F1815 F1828 F1839 F1850 F1862 F1873 F1884 F1895 F1908 F1920 F1931 F1942 F1953 F1964 F1975 F1986 F1997 F2008 F2019 F2030 F2041 F2053 F2067 F2079 F2189 F2210 F2244 F2256 F2300 F2315 F2329 F2341 F2352 F2364 F2375 F2386 F2397 F2408 F2419 F2430 F2441 F2452 F2463 F2474 F2485 F2496 F2507 F2518 F2529 F2540 F2551 F2562 F2574 F2585 F2596 F2607 F2618 F2629 F2640 F265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115 F136 F148 F179 F226 F239 F253 F291 F303 F314 F325 F336 F350 F361 F372 F386 F397 F408 F421 F432 F445 F456 F467 F478 F490 F501 F512 F523 F536 F547 F558 F569 F580 F591 F602 F613 F626 F637 F648 F659 F671 F682 F693 F706 F721 F743 F756 F767 F778 F789 F800 F811 F823 F834 F845 F860 F871 F882 F902 F913 F928 F940 F954 F965 F976 F987 F998 F1010 F1021 F1055 F1071 F1097 F1109 F1136 F1150 F1163 F1174 F1186 F1198 F1209 F1220 F1231 F1242 F1254 F1265 F1281 F1292 F1303 F1314 F1329 F1340 F1351 F1362 F1373 F1384 F1397 F1408 F1419 F1430 F1441 F1452 F1465 F1477 F1488 F1502 F1513 F1527 F1538 F1550 F1562 F1573 F1584 F1595 F1606 F1671 F1685 F1706 F1718 F1747 F1783 F1798 F1814 F1827 F1838 F1849 F1861 F1872 F1883 F1894 F1907 F1919 F1930 F1941 F1952 F1963 F1974 F1985 F1996 F2007 F2018 F2029 F2040 F2052 F2066 F2078 F2188 F2209 F2243 F2255 F2299 F2314 F2328 F2340 F2351 F2363 F2374 F2385 F2396 F2407 F2418 F2429 F2440 F2451 F2462 F2473 F2484 F2495 F2506 F2517 F2528 F2539 F2550 F2561 F2573 F2584 F2595 F2606 F2617 F2628 F2639 F2650">
      <formula1>IF(INDIRECT(ADDRESS(ROW()+1,COLUMN(),4))="",RegionList,INDEX(RegionColumn,MATCH(INDIRECT(ADDRESS(ROW()+1,COLUMN(),4)),ProvinciaList,0)))</formula1>
    </dataValidation>
    <dataValidation type="date" operator="greaterThanOrEqual" allowBlank="1" showInputMessage="1" showErrorMessage="1" sqref="C19 C117 C138 C150 C181 C228 C241 C255 C293 C305 C316 C327 C338 C352 C363 C374 C388 C399 C410 C423 C434 C447 C458 C469 C480 C492 C503 C514 C525 C538 C549 C560 C571 C582 C593 C604 C615 C628 C639 C650 C661 C673 C684 C695 C708 C723 C745 C758 C769 C780 C791 C802 C813 C825 C836 C847 C862 C873 C884 C904 C915 C930 C942 C956 C967 C978 C989 C1000 C1012 C1023 C1057 C1073 C1099 C1111 C1138 C1152 C1165 C1176 C1188 C1200 C1211 C1222 C1233 C1244 C1256 C1267 C1283 C1294 C1305 C1316 C1331 C1342 C1353 C1364 C1375 C1386 C1399 C1410 C1421 C1432 C1443 C1454 C1467 C1479 C1490 C1504 C1515 C1529 C1540 C1552 C1564 C1575 C1586 C1597 C1608 C1673 C1687 C1708 C1720 C1749 C1785 C1800 C1816 C1829 C1840 C1851 C1863 C1874 C1885 C1896 C1909 C1921 C1932 C1943 C1954 C1965 C1976 C1987 C1998 C2009 C2020 C2031 C2042 C2054 C2068 C2080 C2190 C2211 C2245 C2257 C2301 C2316 C2330 C2342 C2353 C2365 C2376 C2387 C2398 C2409 C2420 C2431 C2442 C2453 C2464 C2475 C2486 C2497 C2508 C2519 C2530 C2541 C2552 C2563 C2575 C2586 C2597 C2608 C2619 C2630 C2641 C2652">
      <formula1>C17</formula1>
    </dataValidation>
    <dataValidation type="date" operator="lessThanOrEqual" allowBlank="1" showInputMessage="1" showErrorMessage="1" sqref="C17 C115 C136 C148 C179 C226 C239 C253 C291 C303 C314 C325 C336 C350 C361 C372 C386 C397 C408 C421 C432 C445 C456 C467 C478 C490 C501 C512 C523 C536 C547 C558 C569 C580 C591 C602 C613 C626 C637 C648 C659 C671 C682 C693 C706 C721 C743 C756 C767 C778 C789 C800 C811 C823 C834 C845 C860 C871 C882 C902 C913 C928 C940 C954 C965 C976 C987 C998 C1010 C1021 C1055 C1071 C1097 C1109 C1136 C1150 C1163 C1174 C1186 C1198 C1209 C1220 C1231 C1242 C1254 C1265 C1281 C1292 C1303 C1314 C1329 C1340 C1351 C1362 C1373 C1384 C1397 C1408 C1419 C1430 C1441 C1452 C1465 C1477 C1488 C1502 C1513 C1527 C1538 C1550 C1562 C1573 C1584 C1595 C1606 C1671 C1685 C1706 C1718 C1747 C1783 C1798 C1814 C1827 C1838 C1849 C1861 C1872 C1883 C1894 C1907 C1919 C1930 C1941 C1952 C1963 C1974 C1985 C1996 C2007 C2018 C2029 C2040 C2052 C2066 C2078 C2188 C2209 C2243 C2255 C2299 C2314 C2328 C2340 C2351 C2363 C2374 C2385 C2396 C2407 C2418 C2429 C2440 C2451 C2462 C2473 C2484 C2495 C2506 C2517 C2528 C2539 C2550 C2561 C2573 C2584 C2595 C2606 C2617 C2628 C2639 C2650">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Button 1">
              <controlPr defaultSize="0" autoFill="0" autoLine="0" autoPict="0" macro="[1]!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026" r:id="rId4" name="Button 2">
              <controlPr defaultSize="0" autoFill="0" autoLine="0" autoPict="0" macro="[1]!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027" r:id="rId5" name="Button 3">
              <controlPr defaultSize="0" autoFill="0" autoLine="0" autoPict="0" macro="[1]!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028" r:id="rId6" name="Button 4">
              <controlPr defaultSize="0" autoFill="0" autoLine="0" autoPict="0" macro="[1]!Sheet1.CopyNewProcedure">
                <anchor moveWithCells="1" sizeWithCells="1">
                  <from>
                    <xdr:col>0</xdr:col>
                    <xdr:colOff>0</xdr:colOff>
                    <xdr:row>2660</xdr:row>
                    <xdr:rowOff>0</xdr:rowOff>
                  </from>
                  <to>
                    <xdr:col>1</xdr:col>
                    <xdr:colOff>457200</xdr:colOff>
                    <xdr:row>2661</xdr:row>
                    <xdr:rowOff>161925</xdr:rowOff>
                  </to>
                </anchor>
              </controlPr>
            </control>
          </mc:Choice>
        </mc:AlternateContent>
        <mc:AlternateContent xmlns:mc="http://schemas.openxmlformats.org/markup-compatibility/2006">
          <mc:Choice Requires="x14">
            <control shapeId="1029" r:id="rId7" name="Button 5">
              <controlPr locked="0" defaultSize="0" print="0" autoFill="0" autoPict="0" macro="[1]!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030" r:id="rId8" name="Button 6">
              <controlPr locked="0" defaultSize="0" print="0" autoFill="0" autoPict="0" macro="[1]!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031" r:id="rId9" name="Button 7">
              <controlPr locked="0" defaultSize="0" print="0" autoFill="0" autoPict="0" macro="[1]!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032" r:id="rId10" name="Button 8">
              <controlPr locked="0" defaultSize="0" print="0" autoFill="0" autoPict="0" macro="[1]!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033" r:id="rId11" name="Button 9">
              <controlPr locked="0" defaultSize="0" print="0" autoFill="0" autoPict="0" macro="[1]!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034" r:id="rId12" name="Button 10">
              <controlPr locked="0" defaultSize="0" print="0" autoFill="0" autoPict="0" macro="[1]!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035" r:id="rId13" name="Button 11">
              <controlPr locked="0" defaultSize="0" print="0" autoFill="0" autoPict="0" macro="[1]!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036" r:id="rId14" name="Button 12">
              <controlPr locked="0" defaultSize="0" print="0" autoFill="0" autoPict="0" macro="[1]!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037" r:id="rId15" name="Button 13">
              <controlPr locked="0" defaultSize="0" print="0" autoFill="0" autoPict="0" macro="[1]!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038" r:id="rId16" name="Button 14">
              <controlPr locked="0" defaultSize="0" print="0" autoFill="0" autoPict="0" macro="[1]!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039" r:id="rId17" name="Button 15">
              <controlPr locked="0" defaultSize="0" print="0" autoFill="0" autoPict="0" macro="[1]!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040" r:id="rId18" name="Button 16">
              <controlPr locked="0" defaultSize="0" print="0" autoFill="0" autoPict="0" macro="[1]!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041" r:id="rId19" name="Button 17">
              <controlPr locked="0" defaultSize="0" print="0" autoFill="0" autoPict="0" macro="[1]!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042" r:id="rId20" name="Button 18">
              <controlPr locked="0" defaultSize="0" print="0" autoFill="0" autoPict="0" macro="[1]!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043" r:id="rId21" name="Button 19">
              <controlPr locked="0" defaultSize="0" print="0" autoFill="0" autoPict="0" macro="[1]!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044" r:id="rId22" name="Button 20">
              <controlPr locked="0" defaultSize="0" print="0" autoFill="0" autoPict="0" macro="[1]!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045" r:id="rId23" name="Button 21">
              <controlPr locked="0" defaultSize="0" print="0" autoFill="0" autoPict="0" macro="[1]!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046" r:id="rId24" name="Button 22">
              <controlPr locked="0" defaultSize="0" print="0" autoFill="0" autoPict="0" macro="[1]!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047" r:id="rId25" name="Button 23">
              <controlPr locked="0" defaultSize="0" print="0" autoFill="0" autoPict="0" macro="[1]!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048" r:id="rId26" name="Button 24">
              <controlPr locked="0" defaultSize="0" print="0" autoFill="0" autoPict="0" macro="[1]!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49" r:id="rId27" name="Button 25">
              <controlPr locked="0" defaultSize="0" print="0" autoFill="0" autoPict="0" macro="[1]!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50" r:id="rId28" name="Button 26">
              <controlPr locked="0" defaultSize="0" print="0" autoFill="0" autoPict="0" macro="[1]!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51" r:id="rId29" name="Button 27">
              <controlPr locked="0" defaultSize="0" print="0" autoFill="0" autoPict="0" macro="[1]!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52" r:id="rId30" name="Button 28">
              <controlPr locked="0" defaultSize="0" print="0" autoFill="0" autoPict="0" macro="[1]!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53" r:id="rId31" name="Button 29">
              <controlPr locked="0" defaultSize="0" print="0" autoFill="0" autoPict="0" macro="[1]!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54" r:id="rId32" name="Button 30">
              <controlPr locked="0" defaultSize="0" print="0" autoFill="0" autoPict="0" macro="[1]!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055" r:id="rId33" name="Button 31">
              <controlPr locked="0" defaultSize="0" print="0" autoFill="0" autoPict="0" macro="[1]!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056" r:id="rId34" name="Button 32">
              <controlPr locked="0" defaultSize="0" print="0" autoFill="0" autoPict="0" macro="[1]!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057" r:id="rId35" name="Button 33">
              <controlPr locked="0" defaultSize="0" print="0" autoFill="0" autoPict="0" macro="[1]!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058" r:id="rId36" name="Button 34">
              <controlPr locked="0" defaultSize="0" print="0" autoFill="0" autoPict="0" macro="[1]!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059" r:id="rId37" name="Button 35">
              <controlPr locked="0" defaultSize="0" print="0" autoFill="0" autoPict="0" macro="[1]!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060" r:id="rId38" name="Button 36">
              <controlPr locked="0" defaultSize="0" print="0" autoFill="0" autoPict="0" macro="[1]!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61" r:id="rId39" name="Button 37">
              <controlPr locked="0" defaultSize="0" print="0" autoFill="0" autoPict="0" macro="[1]!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62" r:id="rId40" name="Button 38">
              <controlPr locked="0" defaultSize="0" print="0" autoFill="0" autoPict="0" macro="[1]!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63" r:id="rId41" name="Button 39">
              <controlPr locked="0" defaultSize="0" print="0" autoFill="0" autoPict="0" macro="[1]!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64" r:id="rId42" name="Button 40">
              <controlPr locked="0" defaultSize="0" print="0" autoFill="0" autoPict="0" macro="[1]!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65" r:id="rId43" name="Button 41">
              <controlPr locked="0" defaultSize="0" print="0" autoFill="0" autoPict="0" macro="[1]!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66" r:id="rId44" name="Button 42">
              <controlPr locked="0" defaultSize="0" print="0" autoFill="0" autoPict="0" macro="[1]!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067" r:id="rId45" name="Button 43">
              <controlPr locked="0" defaultSize="0" print="0" autoFill="0" autoPict="0" macro="[1]!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068" r:id="rId46" name="Button 44">
              <controlPr locked="0" defaultSize="0" print="0" autoFill="0" autoPict="0" macro="[1]!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069" r:id="rId47" name="Button 45">
              <controlPr locked="0" defaultSize="0" print="0" autoFill="0" autoPict="0" macro="[1]!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070" r:id="rId48" name="Button 46">
              <controlPr locked="0" defaultSize="0" print="0" autoFill="0" autoPict="0" macro="[1]!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71" r:id="rId49" name="Button 47">
              <controlPr locked="0" defaultSize="0" print="0" autoFill="0" autoPict="0" macro="[1]!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72" r:id="rId50" name="Button 48">
              <controlPr locked="0" defaultSize="0" print="0" autoFill="0" autoPict="0" macro="[1]!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73" r:id="rId51" name="Button 49">
              <controlPr locked="0" defaultSize="0" print="0" autoFill="0" autoPict="0" macro="[1]!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74" r:id="rId52" name="Button 50">
              <controlPr locked="0" defaultSize="0" print="0" autoFill="0" autoPict="0" macro="[1]!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75" r:id="rId53" name="Button 51">
              <controlPr locked="0" defaultSize="0" print="0" autoFill="0" autoPict="0" macro="[1]!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76" r:id="rId54" name="Button 52">
              <controlPr locked="0" defaultSize="0" print="0" autoFill="0" autoPict="0" macro="[1]!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77" r:id="rId55" name="Button 53">
              <controlPr locked="0" defaultSize="0" print="0" autoFill="0" autoPict="0" macro="[1]!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78" r:id="rId56" name="Button 54">
              <controlPr locked="0" defaultSize="0" print="0" autoFill="0" autoPict="0" macro="[1]!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079" r:id="rId57" name="Button 55">
              <controlPr locked="0" defaultSize="0" print="0" autoFill="0" autoPict="0" macro="[1]!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0" r:id="rId58" name="Button 56">
              <controlPr locked="0" defaultSize="0" print="0" autoFill="0" autoPict="0" macro="[1]!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1" r:id="rId59" name="Button 57">
              <controlPr locked="0" defaultSize="0" print="0" autoFill="0" autoPict="0" macro="[1]!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2" r:id="rId60" name="Button 58">
              <controlPr locked="0" defaultSize="0" print="0" autoFill="0" autoPict="0" macro="[1]!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083" r:id="rId61" name="Button 59">
              <controlPr locked="0" defaultSize="0" print="0" autoFill="0" autoPict="0" macro="[1]!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084" r:id="rId62" name="Button 60">
              <controlPr locked="0" defaultSize="0" print="0" autoFill="0" autoPict="0" macro="[1]!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 r:id="rId63" name="Button 61">
              <controlPr locked="0" defaultSize="0" print="0" autoFill="0" autoPict="0" macro="[1]!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086" r:id="rId64" name="Button 62">
              <controlPr locked="0" defaultSize="0" print="0" autoFill="0" autoPict="0" macro="[1]!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087" r:id="rId65" name="Button 63">
              <controlPr locked="0" defaultSize="0" print="0" autoFill="0" autoPict="0" macro="[1]!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088" r:id="rId66" name="Button 64">
              <controlPr locked="0" defaultSize="0" print="0" autoFill="0" autoPict="0" macro="[1]!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089" r:id="rId67" name="Button 65">
              <controlPr locked="0" defaultSize="0" print="0" autoFill="0" autoPict="0" macro="[1]!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090" r:id="rId68" name="Button 66">
              <controlPr locked="0" defaultSize="0" print="0" autoFill="0" autoPict="0" macro="[1]!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091" r:id="rId69" name="Button 67">
              <controlPr locked="0" defaultSize="0" print="0" autoFill="0" autoPict="0" macro="[1]!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092" r:id="rId70" name="Button 68">
              <controlPr locked="0" defaultSize="0" print="0" autoFill="0" autoPict="0" macro="[1]!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71" name="Button 69">
              <controlPr locked="0" defaultSize="0" print="0" autoFill="0" autoPict="0" macro="[1]!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94" r:id="rId72" name="Button 70">
              <controlPr locked="0" defaultSize="0" print="0" autoFill="0" autoPict="0" macro="[1]!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095" r:id="rId73" name="Button 71">
              <controlPr locked="0" defaultSize="0" print="0" autoFill="0" autoPict="0" macro="[1]!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096" r:id="rId74" name="Button 72">
              <controlPr locked="0" defaultSize="0" print="0" autoFill="0" autoPict="0" macro="[1]!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097" r:id="rId75" name="Button 73">
              <controlPr locked="0" defaultSize="0" print="0" autoFill="0" autoPict="0" macro="[1]!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098" r:id="rId76" name="Button 74">
              <controlPr locked="0" defaultSize="0" print="0" autoFill="0" autoPict="0" macro="[1]!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099" r:id="rId77" name="Button 75">
              <controlPr locked="0" defaultSize="0" print="0" autoFill="0" autoPict="0" macro="[1]!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100" r:id="rId78" name="Button 76">
              <controlPr locked="0" defaultSize="0" print="0" autoFill="0" autoPict="0" macro="[1]!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101" r:id="rId79" name="Button 77">
              <controlPr locked="0" defaultSize="0" print="0" autoFill="0" autoPict="0" macro="[1]!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102" r:id="rId80" name="Button 78">
              <controlPr locked="0" defaultSize="0" print="0" autoFill="0" autoPict="0" macro="[1]!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103" r:id="rId81" name="Button 79">
              <controlPr locked="0" defaultSize="0" print="0" autoFill="0" autoPict="0" macro="[1]!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104" r:id="rId82" name="Button 80">
              <controlPr locked="0" defaultSize="0" print="0" autoFill="0" autoPict="0" macro="[1]!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105" r:id="rId83" name="Button 81">
              <controlPr locked="0" defaultSize="0" print="0" autoFill="0" autoPict="0" macro="[1]!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106" r:id="rId84" name="Button 82">
              <controlPr locked="0" defaultSize="0" print="0" autoFill="0" autoPict="0" macro="[1]!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107" r:id="rId85" name="Button 83">
              <controlPr locked="0" defaultSize="0" print="0" autoFill="0" autoPict="0" macro="[1]!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108" r:id="rId86" name="Button 84">
              <controlPr locked="0" defaultSize="0" print="0" autoFill="0" autoPict="0" macro="[1]!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109" r:id="rId87" name="Button 85">
              <controlPr locked="0" defaultSize="0" print="0" autoFill="0" autoPict="0" macro="[1]!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110" r:id="rId88" name="Button 86">
              <controlPr locked="0" defaultSize="0" print="0" autoFill="0" autoPict="0" macro="[1]!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111" r:id="rId89" name="Button 87">
              <controlPr locked="0" defaultSize="0" print="0" autoFill="0" autoPict="0" macro="[1]!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112" r:id="rId90" name="Button 88">
              <controlPr locked="0" defaultSize="0" print="0" autoFill="0" autoPict="0" macro="[1]!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113" r:id="rId91" name="Button 89">
              <controlPr locked="0" defaultSize="0" print="0" autoFill="0" autoPict="0" macro="[1]!Sheet1.InsertNewTabl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114" r:id="rId92" name="Button 90">
              <controlPr locked="0" defaultSize="0" print="0" autoFill="0" autoPict="0" macro="[1]!Sheet1.deleteProcedure">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115" r:id="rId93" name="Button 91">
              <controlPr locked="0" defaultSize="0" print="0" autoFill="0" autoPict="0" macro="[1]!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116" r:id="rId94" name="Button 92">
              <controlPr locked="0" defaultSize="0" print="0" autoFill="0" autoPict="0" macro="[1]!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117" r:id="rId95" name="Button 93">
              <controlPr locked="0" defaultSize="0" print="0" autoFill="0" autoPict="0" macro="[1]!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118" r:id="rId96" name="Button 94">
              <controlPr locked="0" defaultSize="0" print="0" autoFill="0" autoPict="0" macro="[1]!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119" r:id="rId97" name="Button 95">
              <controlPr locked="0" defaultSize="0" print="0" autoFill="0" autoPict="0" macro="[1]!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120" r:id="rId98" name="Button 96">
              <controlPr locked="0" defaultSize="0" print="0" autoFill="0" autoPict="0" macro="[1]!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121" r:id="rId99" name="Button 97">
              <controlPr locked="0" defaultSize="0" print="0" autoFill="0" autoPict="0" macro="[1]!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122" r:id="rId100" name="Button 98">
              <controlPr locked="0" defaultSize="0" print="0" autoFill="0" autoPict="0" macro="[1]!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123" r:id="rId101" name="Button 99">
              <controlPr locked="0" defaultSize="0" print="0" autoFill="0" autoPict="0" macro="[1]!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124" r:id="rId102" name="Button 100">
              <controlPr locked="0" defaultSize="0" print="0" autoFill="0" autoPict="0" macro="[1]!Sheet1.InsertNewTabl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125" r:id="rId103" name="Button 101">
              <controlPr locked="0" defaultSize="0" print="0" autoFill="0" autoPict="0" macro="[1]!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126" r:id="rId104" name="Button 102">
              <controlPr locked="0" defaultSize="0" print="0" autoFill="0" autoPict="0" macro="[1]!Sheet1.deleteProcedure">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127" r:id="rId105" name="Button 103">
              <controlPr locked="0" defaultSize="0" print="0" autoFill="0" autoPict="0" macro="[1]!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128" r:id="rId106" name="Button 104">
              <controlPr locked="0" defaultSize="0" print="0" autoFill="0" autoPict="0" macro="[1]!Sheet1.InsertNewTabl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129" r:id="rId107" name="Button 105">
              <controlPr locked="0" defaultSize="0" print="0" autoFill="0" autoPict="0" macro="[1]!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130" r:id="rId108" name="Button 106">
              <controlPr locked="0" defaultSize="0" print="0" autoFill="0" autoPict="0" macro="[1]!Sheet1.deleteProcedure">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131" r:id="rId109" name="Button 107">
              <controlPr locked="0" defaultSize="0" print="0" autoFill="0" autoPict="0" macro="[1]!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132" r:id="rId110" name="Button 108">
              <controlPr locked="0" defaultSize="0" print="0" autoFill="0" autoPict="0" macro="[1]!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133" r:id="rId111" name="Button 109">
              <controlPr locked="0" defaultSize="0" print="0" autoFill="0" autoPict="0" macro="[1]!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134" r:id="rId112" name="Button 110">
              <controlPr locked="0" defaultSize="0" print="0" autoFill="0" autoPict="0" macro="[1]!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135" r:id="rId113" name="Button 111">
              <controlPr locked="0" defaultSize="0" print="0" autoFill="0" autoPict="0" macro="[1]!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136" r:id="rId114" name="Button 112">
              <controlPr locked="0" defaultSize="0" print="0" autoFill="0" autoPict="0" macro="[1]!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137" r:id="rId115" name="Button 113">
              <controlPr locked="0" defaultSize="0" print="0" autoFill="0" autoPict="0" macro="[1]!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138" r:id="rId116" name="Button 114">
              <controlPr locked="0" defaultSize="0" print="0" autoFill="0" autoPict="0" macro="[1]!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139" r:id="rId117" name="Button 115">
              <controlPr locked="0" defaultSize="0" print="0" autoFill="0" autoPict="0" macro="[1]!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140" r:id="rId118" name="Button 116">
              <controlPr locked="0" defaultSize="0" print="0" autoFill="0" autoPict="0" macro="[1]!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141" r:id="rId119" name="Button 117">
              <controlPr locked="0" defaultSize="0" print="0" autoFill="0" autoPict="0" macro="[1]!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142" r:id="rId120" name="Button 118">
              <controlPr locked="0" defaultSize="0" print="0" autoFill="0" autoPict="0" macro="[1]!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143" r:id="rId121" name="Button 119">
              <controlPr locked="0" defaultSize="0" print="0" autoFill="0" autoPict="0" macro="[1]!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144" r:id="rId122" name="Button 120">
              <controlPr locked="0" defaultSize="0" print="0" autoFill="0" autoPict="0" macro="[1]!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145" r:id="rId123" name="Button 121">
              <controlPr locked="0" defaultSize="0" print="0" autoFill="0" autoPict="0" macro="[1]!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146" r:id="rId124" name="Button 122">
              <controlPr locked="0" defaultSize="0" print="0" autoFill="0" autoPict="0" macro="[1]!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147" r:id="rId125" name="Button 123">
              <controlPr locked="0" defaultSize="0" print="0" autoFill="0" autoPict="0" macro="[1]!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148" r:id="rId126" name="Button 124">
              <controlPr locked="0" defaultSize="0" print="0" autoFill="0" autoPict="0" macro="[1]!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149" r:id="rId127" name="Button 125">
              <controlPr locked="0" defaultSize="0" print="0" autoFill="0" autoPict="0" macro="[1]!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150" r:id="rId128" name="Button 126">
              <controlPr locked="0" defaultSize="0" print="0" autoFill="0" autoPict="0" macro="[1]!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151" r:id="rId129" name="Button 127">
              <controlPr locked="0" defaultSize="0" print="0" autoFill="0" autoPict="0" macro="[1]!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152" r:id="rId130" name="Button 128">
              <controlPr locked="0" defaultSize="0" print="0" autoFill="0" autoPict="0" macro="[1]!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153" r:id="rId131" name="Button 129">
              <controlPr locked="0" defaultSize="0" print="0" autoFill="0" autoPict="0" macro="[1]!Sheet1.InsertNewTabl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154" r:id="rId132" name="Button 130">
              <controlPr locked="0" defaultSize="0" print="0" autoFill="0" autoPict="0" macro="[1]!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155" r:id="rId133" name="Button 131">
              <controlPr locked="0" defaultSize="0" print="0" autoFill="0" autoPict="0" macro="[1]!Sheet1.deleteProcedure">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156" r:id="rId134" name="Button 132">
              <controlPr locked="0" defaultSize="0" print="0" autoFill="0" autoPict="0" macro="[1]!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157" r:id="rId135" name="Button 133">
              <controlPr locked="0" defaultSize="0" print="0" autoFill="0" autoPict="0" macro="[1]!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158" r:id="rId136" name="Button 134">
              <controlPr locked="0" defaultSize="0" print="0" autoFill="0" autoPict="0" macro="[1]!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159" r:id="rId137" name="Button 135">
              <controlPr locked="0" defaultSize="0" print="0" autoFill="0" autoPict="0" macro="[1]!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160" r:id="rId138" name="Button 136">
              <controlPr locked="0" defaultSize="0" print="0" autoFill="0" autoPict="0" macro="[1]!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161" r:id="rId139" name="Button 137">
              <controlPr locked="0" defaultSize="0" print="0" autoFill="0" autoPict="0" macro="[1]!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162" r:id="rId140" name="Button 138">
              <controlPr locked="0" defaultSize="0" print="0" autoFill="0" autoPict="0" macro="[1]!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163" r:id="rId141" name="Button 139">
              <controlPr locked="0" defaultSize="0" print="0" autoFill="0" autoPict="0" macro="[1]!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164" r:id="rId142" name="Button 140">
              <controlPr locked="0" defaultSize="0" print="0" autoFill="0" autoPict="0" macro="[1]!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165" r:id="rId143" name="Button 141">
              <controlPr locked="0" defaultSize="0" print="0" autoFill="0" autoPict="0" macro="[1]!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166" r:id="rId144" name="Button 142">
              <controlPr locked="0" defaultSize="0" print="0" autoFill="0" autoPict="0" macro="[1]!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167" r:id="rId145" name="Button 143">
              <controlPr locked="0" defaultSize="0" print="0" autoFill="0" autoPict="0" macro="[1]!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168" r:id="rId146" name="Button 144">
              <controlPr locked="0" defaultSize="0" print="0" autoFill="0" autoPict="0" macro="[1]!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169" r:id="rId147" name="Button 145">
              <controlPr locked="0" defaultSize="0" print="0" autoFill="0" autoPict="0" macro="[1]!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170" r:id="rId148" name="Button 146">
              <controlPr locked="0" defaultSize="0" print="0" autoFill="0" autoPict="0" macro="[1]!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171" r:id="rId149" name="Button 147">
              <controlPr locked="0" defaultSize="0" print="0" autoFill="0" autoPict="0" macro="[1]!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172" r:id="rId150" name="Button 148">
              <controlPr locked="0" defaultSize="0" print="0" autoFill="0" autoPict="0" macro="[1]!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173" r:id="rId151" name="Button 149">
              <controlPr locked="0" defaultSize="0" print="0" autoFill="0" autoPict="0" macro="[1]!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174" r:id="rId152" name="Button 150">
              <controlPr locked="0" defaultSize="0" print="0" autoFill="0" autoPict="0" macro="[1]!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175" r:id="rId153" name="Button 151">
              <controlPr locked="0" defaultSize="0" print="0" autoFill="0" autoPict="0" macro="[1]!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176" r:id="rId154" name="Button 152">
              <controlPr locked="0" defaultSize="0" print="0" autoFill="0" autoPict="0" macro="[1]!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177" r:id="rId155" name="Button 153">
              <controlPr locked="0" defaultSize="0" print="0" autoFill="0" autoPict="0" macro="[1]!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178" r:id="rId156" name="Button 154">
              <controlPr locked="0" defaultSize="0" print="0" autoFill="0" autoPict="0" macro="[1]!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179" r:id="rId157" name="Button 155">
              <controlPr locked="0" defaultSize="0" print="0" autoFill="0" autoPict="0" macro="[1]!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180" r:id="rId158" name="Button 156">
              <controlPr locked="0" defaultSize="0" print="0" autoFill="0" autoPict="0" macro="[1]!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181" r:id="rId159" name="Button 157">
              <controlPr locked="0" defaultSize="0" print="0" autoFill="0" autoPict="0" macro="[1]!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182" r:id="rId160" name="Button 158">
              <controlPr locked="0" defaultSize="0" print="0" autoFill="0" autoPict="0" macro="[1]!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183" r:id="rId161" name="Button 159">
              <controlPr locked="0" defaultSize="0" print="0" autoFill="0" autoPict="0" macro="[1]!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184" r:id="rId162" name="Button 160">
              <controlPr locked="0" defaultSize="0" print="0" autoFill="0" autoPict="0" macro="[1]!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185" r:id="rId163" name="Button 161">
              <controlPr locked="0" defaultSize="0" print="0" autoFill="0" autoPict="0" macro="[1]!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186" r:id="rId164" name="Button 162">
              <controlPr locked="0" defaultSize="0" print="0" autoFill="0" autoPict="0" macro="[1]!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187" r:id="rId165" name="Button 163">
              <controlPr locked="0" defaultSize="0" print="0" autoFill="0" autoPict="0" macro="[1]!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188" r:id="rId166" name="Button 164">
              <controlPr locked="0" defaultSize="0" print="0" autoFill="0" autoPict="0" macro="[1]!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189" r:id="rId167" name="Button 165">
              <controlPr locked="0" defaultSize="0" print="0" autoFill="0" autoPict="0" macro="[1]!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190" r:id="rId168" name="Button 166">
              <controlPr locked="0" defaultSize="0" print="0" autoFill="0" autoPict="0" macro="[1]!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191" r:id="rId169" name="Button 167">
              <controlPr locked="0" defaultSize="0" print="0" autoFill="0" autoPict="0" macro="[1]!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192" r:id="rId170" name="Button 168">
              <controlPr locked="0" defaultSize="0" print="0" autoFill="0" autoPict="0" macro="[1]!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193" r:id="rId171" name="Button 169">
              <controlPr locked="0" defaultSize="0" print="0" autoFill="0" autoPict="0" macro="[1]!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194" r:id="rId172" name="Button 170">
              <controlPr locked="0" defaultSize="0" print="0" autoFill="0" autoPict="0" macro="[1]!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195" r:id="rId173" name="Button 171">
              <controlPr locked="0" defaultSize="0" print="0" autoFill="0" autoPict="0" macro="[1]!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196" r:id="rId174" name="Button 172">
              <controlPr locked="0" defaultSize="0" print="0" autoFill="0" autoPict="0" macro="[1]!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197" r:id="rId175" name="Button 173">
              <controlPr locked="0" defaultSize="0" print="0" autoFill="0" autoPict="0" macro="[1]!Sheet1.InsertNewTabl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198" r:id="rId176" name="Button 174">
              <controlPr locked="0" defaultSize="0" print="0" autoFill="0" autoPict="0" macro="[1]!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199" r:id="rId177" name="Button 175">
              <controlPr locked="0" defaultSize="0" print="0" autoFill="0" autoPict="0" macro="[1]!Sheet1.deleteProcedure">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00" r:id="rId178" name="Button 176">
              <controlPr locked="0" defaultSize="0" print="0" autoFill="0" autoPict="0" macro="[1]!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01" r:id="rId179" name="Button 177">
              <controlPr locked="0" defaultSize="0" print="0" autoFill="0" autoPict="0" macro="[1]!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02" r:id="rId180" name="Button 178">
              <controlPr locked="0" defaultSize="0" print="0" autoFill="0" autoPict="0" macro="[1]!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03" r:id="rId181" name="Button 179">
              <controlPr locked="0" defaultSize="0" print="0" autoFill="0" autoPict="0" macro="[1]!Sheet1.InsertNewTabl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04" r:id="rId182" name="Button 180">
              <controlPr locked="0" defaultSize="0" print="0" autoFill="0" autoPict="0" macro="[1]!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05" r:id="rId183" name="Button 181">
              <controlPr locked="0" defaultSize="0" print="0" autoFill="0" autoPict="0" macro="[1]!Sheet1.deleteProcedure">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06" r:id="rId184" name="Button 182">
              <controlPr locked="0" defaultSize="0" print="0" autoFill="0" autoPict="0" macro="[1]!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07" r:id="rId185" name="Button 183">
              <controlPr locked="0" defaultSize="0" print="0" autoFill="0" autoPict="0" macro="[1]!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08" r:id="rId186" name="Button 184">
              <controlPr locked="0" defaultSize="0" print="0" autoFill="0" autoPict="0" macro="[1]!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09" r:id="rId187" name="Button 185">
              <controlPr locked="0" defaultSize="0" print="0" autoFill="0" autoPict="0" macro="[1]!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10" r:id="rId188" name="Button 186">
              <controlPr locked="0" defaultSize="0" print="0" autoFill="0" autoPict="0" macro="[1]!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11" r:id="rId189" name="Button 187">
              <controlPr locked="0" defaultSize="0" print="0" autoFill="0" autoPict="0" macro="[1]!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12" r:id="rId190" name="Button 188">
              <controlPr locked="0" defaultSize="0" print="0" autoFill="0" autoPict="0" macro="[1]!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13" r:id="rId191" name="Button 189">
              <controlPr locked="0" defaultSize="0" print="0" autoFill="0" autoPict="0" macro="[1]!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14" r:id="rId192" name="Button 190">
              <controlPr locked="0" defaultSize="0" print="0" autoFill="0" autoPict="0" macro="[1]!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15" r:id="rId193" name="Button 191">
              <controlPr locked="0" defaultSize="0" print="0" autoFill="0" autoPict="0" macro="[1]!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16" r:id="rId194" name="Button 192">
              <controlPr locked="0" defaultSize="0" print="0" autoFill="0" autoPict="0" macro="[1]!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17" r:id="rId195" name="Button 193">
              <controlPr locked="0" defaultSize="0" print="0" autoFill="0" autoPict="0" macro="[1]!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18" r:id="rId196" name="Button 194">
              <controlPr locked="0" defaultSize="0" print="0" autoFill="0" autoPict="0" macro="[1]!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19" r:id="rId197" name="Button 195">
              <controlPr locked="0" defaultSize="0" print="0" autoFill="0" autoPict="0" macro="[1]!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20" r:id="rId198" name="Button 196">
              <controlPr locked="0" defaultSize="0" print="0" autoFill="0" autoPict="0" macro="[1]!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21" r:id="rId199" name="Button 197">
              <controlPr locked="0" defaultSize="0" print="0" autoFill="0" autoPict="0" macro="[1]!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22" r:id="rId200" name="Button 198">
              <controlPr locked="0" defaultSize="0" print="0" autoFill="0" autoPict="0" macro="[1]!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23" r:id="rId201" name="Button 199">
              <controlPr locked="0" defaultSize="0" print="0" autoFill="0" autoPict="0" macro="[1]!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24" r:id="rId202" name="Button 200">
              <controlPr locked="0" defaultSize="0" print="0" autoFill="0" autoPict="0" macro="[1]!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25" r:id="rId203" name="Button 201">
              <controlPr locked="0" defaultSize="0" print="0" autoFill="0" autoPict="0" macro="[1]!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26" r:id="rId204" name="Button 202">
              <controlPr locked="0" defaultSize="0" print="0" autoFill="0" autoPict="0" macro="[1]!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27" r:id="rId205" name="Button 203">
              <controlPr locked="0" defaultSize="0" print="0" autoFill="0" autoPict="0" macro="[1]!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28" r:id="rId206" name="Button 204">
              <controlPr locked="0" defaultSize="0" print="0" autoFill="0" autoPict="0" macro="[1]!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29" r:id="rId207" name="Button 205">
              <controlPr locked="0" defaultSize="0" print="0" autoFill="0" autoPict="0" macro="[1]!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30" r:id="rId208" name="Button 206">
              <controlPr locked="0" defaultSize="0" print="0" autoFill="0" autoPict="0" macro="[1]!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31" r:id="rId209" name="Button 207">
              <controlPr locked="0" defaultSize="0" print="0" autoFill="0" autoPict="0" macro="[1]!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32" r:id="rId210" name="Button 208">
              <controlPr locked="0" defaultSize="0" print="0" autoFill="0" autoPict="0" macro="[1]!Sheet1.InsertNewTabl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33" r:id="rId211" name="Button 209">
              <controlPr locked="0" defaultSize="0" print="0" autoFill="0" autoPict="0" macro="[1]!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34" r:id="rId212" name="Button 210">
              <controlPr locked="0" defaultSize="0" print="0" autoFill="0" autoPict="0" macro="[1]!Sheet1.deleteProcedure">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35" r:id="rId213" name="Button 211">
              <controlPr locked="0" defaultSize="0" print="0" autoFill="0" autoPict="0" macro="[1]!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36" r:id="rId214" name="Button 212">
              <controlPr locked="0" defaultSize="0" print="0" autoFill="0" autoPict="0" macro="[1]!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37" r:id="rId215" name="Button 213">
              <controlPr locked="0" defaultSize="0" print="0" autoFill="0" autoPict="0" macro="[1]!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38" r:id="rId216" name="Button 214">
              <controlPr locked="0" defaultSize="0" print="0" autoFill="0" autoPict="0" macro="[1]!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39" r:id="rId217" name="Button 215">
              <controlPr locked="0" defaultSize="0" print="0" autoFill="0" autoPict="0" macro="[1]!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40" r:id="rId218" name="Button 216">
              <controlPr locked="0" defaultSize="0" print="0" autoFill="0" autoPict="0" macro="[1]!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41" r:id="rId219" name="Button 217">
              <controlPr locked="0" defaultSize="0" print="0" autoFill="0" autoPict="0" macro="[1]!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42" r:id="rId220" name="Button 218">
              <controlPr locked="0" defaultSize="0" print="0" autoFill="0" autoPict="0" macro="[1]!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43" r:id="rId221" name="Button 219">
              <controlPr locked="0" defaultSize="0" print="0" autoFill="0" autoPict="0" macro="[1]!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44" r:id="rId222" name="Button 220">
              <controlPr locked="0" defaultSize="0" print="0" autoFill="0" autoPict="0" macro="[1]!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45" r:id="rId223" name="Button 221">
              <controlPr locked="0" defaultSize="0" print="0" autoFill="0" autoPict="0" macro="[1]!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46" r:id="rId224" name="Button 222">
              <controlPr locked="0" defaultSize="0" print="0" autoFill="0" autoPict="0" macro="[1]!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47" r:id="rId225" name="Button 223">
              <controlPr locked="0" defaultSize="0" print="0" autoFill="0" autoPict="0" macro="[1]!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48" r:id="rId226" name="Button 224">
              <controlPr locked="0" defaultSize="0" print="0" autoFill="0" autoPict="0" macro="[1]!Sheet1.InsertNewTabl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49" r:id="rId227" name="Button 225">
              <controlPr locked="0" defaultSize="0" print="0" autoFill="0" autoPict="0" macro="[1]!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50" r:id="rId228" name="Button 226">
              <controlPr locked="0" defaultSize="0" print="0" autoFill="0" autoPict="0" macro="[1]!Sheet1.deleteProcedure">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51" r:id="rId229" name="Button 227">
              <controlPr locked="0" defaultSize="0" print="0" autoFill="0" autoPict="0" macro="[1]!Sheet1.InsertNewTabl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52" r:id="rId230" name="Button 228">
              <controlPr locked="0" defaultSize="0" print="0" autoFill="0" autoPict="0" macro="[1]!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53" r:id="rId231" name="Button 229">
              <controlPr locked="0" defaultSize="0" print="0" autoFill="0" autoPict="0" macro="[1]!Sheet1.deleteProcedure">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54" r:id="rId232" name="Button 230">
              <controlPr locked="0" defaultSize="0" print="0" autoFill="0" autoPict="0" macro="[1]!Sheet1.InsertNewTabl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55" r:id="rId233" name="Button 231">
              <controlPr locked="0" defaultSize="0" print="0" autoFill="0" autoPict="0" macro="[1]!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56" r:id="rId234" name="Button 232">
              <controlPr locked="0" defaultSize="0" print="0" autoFill="0" autoPict="0" macro="[1]!Sheet1.deleteProcedure">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57" r:id="rId235" name="Button 233">
              <controlPr locked="0" defaultSize="0" print="0" autoFill="0" autoPict="0" macro="[1]!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58" r:id="rId236" name="Button 234">
              <controlPr locked="0" defaultSize="0" print="0" autoFill="0" autoPict="0" macro="[1]!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59" r:id="rId237" name="Button 235">
              <controlPr locked="0" defaultSize="0" print="0" autoFill="0" autoPict="0" macro="[1]!Sheet1.InsertNewTabl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60" r:id="rId238" name="Button 236">
              <controlPr locked="0" defaultSize="0" print="0" autoFill="0" autoPict="0" macro="[1]!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61" r:id="rId239" name="Button 237">
              <controlPr locked="0" defaultSize="0" print="0" autoFill="0" autoPict="0" macro="[1]!Sheet1.deleteProcedure">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62" r:id="rId240" name="Button 238">
              <controlPr locked="0" defaultSize="0" print="0" autoFill="0" autoPict="0" macro="[1]!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63" r:id="rId241" name="Button 239">
              <controlPr locked="0" defaultSize="0" print="0" autoFill="0" autoPict="0" macro="[1]!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64" r:id="rId242" name="Button 240">
              <controlPr locked="0" defaultSize="0" print="0" autoFill="0" autoPict="0" macro="[1]!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65" r:id="rId243" name="Button 241">
              <controlPr locked="0" defaultSize="0" print="0" autoFill="0" autoPict="0" macro="[1]!Sheet1.InsertNewTabl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66" r:id="rId244" name="Button 242">
              <controlPr locked="0" defaultSize="0" print="0" autoFill="0" autoPict="0" macro="[1]!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67" r:id="rId245" name="Button 243">
              <controlPr locked="0" defaultSize="0" print="0" autoFill="0" autoPict="0" macro="[1]!Sheet1.deleteProcedure">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68" r:id="rId246" name="Button 244">
              <controlPr locked="0" defaultSize="0" print="0" autoFill="0" autoPict="0" macro="[1]!Sheet1.InsertNewTabl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69" r:id="rId247" name="Button 245">
              <controlPr locked="0" defaultSize="0" print="0" autoFill="0" autoPict="0" macro="[1]!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70" r:id="rId248" name="Button 246">
              <controlPr locked="0" defaultSize="0" print="0" autoFill="0" autoPict="0" macro="[1]!Sheet1.deleteProcedure">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71" r:id="rId249" name="Button 247">
              <controlPr locked="0" defaultSize="0" print="0" autoFill="0" autoPict="0" macro="[1]!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72" r:id="rId250" name="Button 248">
              <controlPr locked="0" defaultSize="0" print="0" autoFill="0" autoPict="0" macro="[1]!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73" r:id="rId251" name="Button 249">
              <controlPr locked="0" defaultSize="0" print="0" autoFill="0" autoPict="0" macro="[1]!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74" r:id="rId252" name="Button 250">
              <controlPr locked="0" defaultSize="0" print="0" autoFill="0" autoPict="0" macro="[1]!Sheet1.InsertNewTabl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75" r:id="rId253" name="Button 251">
              <controlPr locked="0" defaultSize="0" print="0" autoFill="0" autoPict="0" macro="[1]!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76" r:id="rId254" name="Button 252">
              <controlPr locked="0" defaultSize="0" print="0" autoFill="0" autoPict="0" macro="[1]!Sheet1.deleteProcedure">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77" r:id="rId255" name="Button 253">
              <controlPr locked="0" defaultSize="0" print="0" autoFill="0" autoPict="0" macro="[1]!Sheet1.InsertNewTabl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278" r:id="rId256" name="Button 254">
              <controlPr locked="0" defaultSize="0" print="0" autoFill="0" autoPict="0" macro="[1]!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79" r:id="rId257" name="Button 255">
              <controlPr locked="0" defaultSize="0" print="0" autoFill="0" autoPict="0" macro="[1]!Sheet1.deleteProcedure">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80" r:id="rId258" name="Button 256">
              <controlPr locked="0" defaultSize="0" print="0" autoFill="0" autoPict="0" macro="[1]!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81" r:id="rId259" name="Button 257">
              <controlPr locked="0" defaultSize="0" print="0" autoFill="0" autoPict="0" macro="[1]!Sheet1.InsertNewTabl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82" r:id="rId260" name="Button 258">
              <controlPr locked="0" defaultSize="0" print="0" autoFill="0" autoPict="0" macro="[1]!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83" r:id="rId261" name="Button 259">
              <controlPr locked="0" defaultSize="0" print="0" autoFill="0" autoPict="0" macro="[1]!Sheet1.deleteProcedure">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84" r:id="rId262" name="Button 260">
              <controlPr locked="0" defaultSize="0" print="0" autoFill="0" autoPict="0" macro="[1]!Sheet1.InsertNewTabl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285" r:id="rId263" name="Button 261">
              <controlPr locked="0" defaultSize="0" print="0" autoFill="0" autoPict="0" macro="[1]!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286" r:id="rId264" name="Button 262">
              <controlPr locked="0" defaultSize="0" print="0" autoFill="0" autoPict="0" macro="[1]!Sheet1.deleteProcedure">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287" r:id="rId265" name="Button 263">
              <controlPr locked="0" defaultSize="0" print="0" autoFill="0" autoPict="0" macro="[1]!Sheet1.InsertNewTabl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288" r:id="rId266" name="Button 264">
              <controlPr locked="0" defaultSize="0" print="0" autoFill="0" autoPict="0" macro="[1]!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289" r:id="rId267" name="Button 265">
              <controlPr locked="0" defaultSize="0" print="0" autoFill="0" autoPict="0" macro="[1]!Sheet1.deleteProcedure">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290" r:id="rId268" name="Button 266">
              <controlPr locked="0" defaultSize="0" print="0" autoFill="0" autoPict="0" macro="[1]!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291" r:id="rId269" name="Button 267">
              <controlPr locked="0" defaultSize="0" print="0" autoFill="0" autoPict="0" macro="[1]!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292" r:id="rId270" name="Button 268">
              <controlPr locked="0" defaultSize="0" print="0" autoFill="0" autoPict="0" macro="[1]!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293" r:id="rId271" name="Button 269">
              <controlPr locked="0" defaultSize="0" print="0" autoFill="0" autoPict="0" macro="[1]!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294" r:id="rId272" name="Button 270">
              <controlPr locked="0" defaultSize="0" print="0" autoFill="0" autoPict="0" macro="[1]!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95" r:id="rId273" name="Button 271">
              <controlPr locked="0" defaultSize="0" print="0" autoFill="0" autoPict="0" macro="[1]!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296" r:id="rId274" name="Button 272">
              <controlPr locked="0" defaultSize="0" print="0" autoFill="0" autoPict="0" macro="[1]!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297" r:id="rId275" name="Button 273">
              <controlPr locked="0" defaultSize="0" print="0" autoFill="0" autoPict="0" macro="[1]!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298" r:id="rId276" name="Button 274">
              <controlPr locked="0" defaultSize="0" print="0" autoFill="0" autoPict="0" macro="[1]!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299" r:id="rId277" name="Button 275">
              <controlPr locked="0" defaultSize="0" print="0" autoFill="0" autoPict="0" macro="[1]!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0" r:id="rId278" name="Button 276">
              <controlPr locked="0" defaultSize="0" print="0" autoFill="0" autoPict="0" macro="[1]!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01" r:id="rId279" name="Button 277">
              <controlPr locked="0" defaultSize="0" print="0" autoFill="0" autoPict="0" macro="[1]!Sheet1.InsertNewTabl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02" r:id="rId280" name="Button 278">
              <controlPr locked="0" defaultSize="0" print="0" autoFill="0" autoPict="0" macro="[1]!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03" r:id="rId281" name="Button 279">
              <controlPr locked="0" defaultSize="0" print="0" autoFill="0" autoPict="0" macro="[1]!Sheet1.deleteProcedure">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4" r:id="rId282" name="Button 280">
              <controlPr locked="0" defaultSize="0" print="0" autoFill="0" autoPict="0" macro="[1]!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05" r:id="rId283" name="Button 281">
              <controlPr locked="0" defaultSize="0" print="0" autoFill="0" autoPict="0" macro="[1]!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06" r:id="rId284" name="Button 282">
              <controlPr locked="0" defaultSize="0" print="0" autoFill="0" autoPict="0" macro="[1]!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07" r:id="rId285" name="Button 283">
              <controlPr locked="0" defaultSize="0" print="0" autoFill="0" autoPict="0" macro="[1]!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08" r:id="rId286" name="Button 284">
              <controlPr locked="0" defaultSize="0" print="0" autoFill="0" autoPict="0" macro="[1]!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09" r:id="rId287" name="Button 285">
              <controlPr locked="0" defaultSize="0" print="0" autoFill="0" autoPict="0" macro="[1]!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0" r:id="rId288" name="Button 286">
              <controlPr locked="0" defaultSize="0" print="0" autoFill="0" autoPict="0" macro="[1]!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1" r:id="rId289" name="Button 287">
              <controlPr locked="0" defaultSize="0" print="0" autoFill="0" autoPict="0" macro="[1]!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2" r:id="rId290" name="Button 288">
              <controlPr locked="0" defaultSize="0" print="0" autoFill="0" autoPict="0" macro="[1]!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3" r:id="rId291" name="Button 289">
              <controlPr locked="0" defaultSize="0" print="0" autoFill="0" autoPict="0" macro="[1]!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4" r:id="rId292" name="Button 290">
              <controlPr locked="0" defaultSize="0" print="0" autoFill="0" autoPict="0" macro="[1]!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5" r:id="rId293" name="Button 291">
              <controlPr locked="0" defaultSize="0" print="0" autoFill="0" autoPict="0" macro="[1]!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6" r:id="rId294" name="Button 292">
              <controlPr locked="0" defaultSize="0" print="0" autoFill="0" autoPict="0" macro="[1]!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7" r:id="rId295" name="Button 293">
              <controlPr locked="0" defaultSize="0" print="0" autoFill="0" autoPict="0" macro="[1]!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8" r:id="rId296" name="Button 294">
              <controlPr locked="0" defaultSize="0" print="0" autoFill="0" autoPict="0" macro="[1]!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9" r:id="rId297" name="Button 295">
              <controlPr locked="0" defaultSize="0" print="0" autoFill="0" autoPict="0" macro="[1]!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320" r:id="rId298" name="Button 296">
              <controlPr locked="0" defaultSize="0" print="0" autoFill="0" autoPict="0" macro="[1]!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321" r:id="rId299" name="Button 297">
              <controlPr locked="0" defaultSize="0" print="0" autoFill="0" autoPict="0" macro="[1]!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22" r:id="rId300" name="Button 298">
              <controlPr locked="0" defaultSize="0" print="0" autoFill="0" autoPict="0" macro="[1]!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23" r:id="rId301" name="Button 299">
              <controlPr locked="0" defaultSize="0" print="0" autoFill="0" autoPict="0" macro="[1]!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24" r:id="rId302" name="Button 300">
              <controlPr locked="0" defaultSize="0" print="0" autoFill="0" autoPict="0" macro="[1]!Sheet1.InsertNewTabl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5" r:id="rId303" name="Button 301">
              <controlPr locked="0" defaultSize="0" print="0" autoFill="0" autoPict="0" macro="[1]!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6" r:id="rId304" name="Button 302">
              <controlPr locked="0" defaultSize="0" print="0" autoFill="0" autoPict="0" macro="[1]!Sheet1.deleteProcedure">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27" r:id="rId305" name="Button 303">
              <controlPr locked="0" defaultSize="0" print="0" autoFill="0" autoPict="0" macro="[1]!Sheet1.InsertNewTabl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8" r:id="rId306" name="Button 304">
              <controlPr locked="0" defaultSize="0" print="0" autoFill="0" autoPict="0" macro="[1]!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9" r:id="rId307" name="Button 305">
              <controlPr locked="0" defaultSize="0" print="0" autoFill="0" autoPict="0" macro="[1]!Sheet1.deleteProcedure">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30" r:id="rId308" name="Button 306">
              <controlPr locked="0" defaultSize="0" print="0" autoFill="0" autoPict="0" macro="[1]!Sheet1.InsertNewTabl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31" r:id="rId309" name="Button 307">
              <controlPr locked="0" defaultSize="0" print="0" autoFill="0" autoPict="0" macro="[1]!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32" r:id="rId310" name="Button 308">
              <controlPr locked="0" defaultSize="0" print="0" autoFill="0" autoPict="0" macro="[1]!Sheet1.deleteProcedure">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33" r:id="rId311" name="Button 309">
              <controlPr locked="0" defaultSize="0" print="0" autoFill="0" autoPict="0" macro="[1]!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34" r:id="rId312" name="Button 310">
              <controlPr locked="0" defaultSize="0" print="0" autoFill="0" autoPict="0" macro="[1]!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35" r:id="rId313" name="Button 311">
              <controlPr locked="0" defaultSize="0" print="0" autoFill="0" autoPict="0" macro="[1]!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36" r:id="rId314" name="Button 312">
              <controlPr locked="0" defaultSize="0" print="0" autoFill="0" autoPict="0" macro="[1]!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37" r:id="rId315" name="Button 313">
              <controlPr locked="0" defaultSize="0" print="0" autoFill="0" autoPict="0" macro="[1]!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38" r:id="rId316" name="Button 314">
              <controlPr locked="0" defaultSize="0" print="0" autoFill="0" autoPict="0" macro="[1]!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39" r:id="rId317" name="Button 315">
              <controlPr locked="0" defaultSize="0" print="0" autoFill="0" autoPict="0" macro="[1]!Sheet1.InsertNewTabl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40" r:id="rId318" name="Button 316">
              <controlPr locked="0" defaultSize="0" print="0" autoFill="0" autoPict="0" macro="[1]!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41" r:id="rId319" name="Button 317">
              <controlPr locked="0" defaultSize="0" print="0" autoFill="0" autoPict="0" macro="[1]!Sheet1.deleteProcedure">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42" r:id="rId320" name="Button 318">
              <controlPr locked="0" defaultSize="0" print="0" autoFill="0" autoPict="0" macro="[1]!Sheet1.InsertNewTabl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43" r:id="rId321" name="Button 319">
              <controlPr locked="0" defaultSize="0" print="0" autoFill="0" autoPict="0" macro="[1]!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44" r:id="rId322" name="Button 320">
              <controlPr locked="0" defaultSize="0" print="0" autoFill="0" autoPict="0" macro="[1]!Sheet1.deleteProcedure">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45" r:id="rId323" name="Button 321">
              <controlPr locked="0" defaultSize="0" print="0" autoFill="0" autoPict="0" macro="[1]!Sheet1.InsertNewTabl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46" r:id="rId324" name="Button 322">
              <controlPr locked="0" defaultSize="0" print="0" autoFill="0" autoPict="0" macro="[1]!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47" r:id="rId325" name="Button 323">
              <controlPr locked="0" defaultSize="0" print="0" autoFill="0" autoPict="0" macro="[1]!Sheet1.deleteProcedure">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48" r:id="rId326" name="Button 324">
              <controlPr locked="0" defaultSize="0" print="0" autoFill="0" autoPict="0" macro="[1]!Sheet1.InsertNewTabl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349" r:id="rId327" name="Button 325">
              <controlPr locked="0" defaultSize="0" print="0" autoFill="0" autoPict="0" macro="[1]!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50" r:id="rId328" name="Button 326">
              <controlPr locked="0" defaultSize="0" print="0" autoFill="0" autoPict="0" macro="[1]!Sheet1.deleteProcedure">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51" r:id="rId329" name="Button 327">
              <controlPr locked="0" defaultSize="0" print="0" autoFill="0" autoPict="0" macro="[1]!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352" r:id="rId330" name="Button 328">
              <controlPr locked="0" defaultSize="0" print="0" autoFill="0" autoPict="0" macro="[1]!Sheet1.InsertNewTabl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353" r:id="rId331" name="Button 329">
              <controlPr locked="0" defaultSize="0" print="0" autoFill="0" autoPict="0" macro="[1]!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354" r:id="rId332" name="Button 330">
              <controlPr locked="0" defaultSize="0" print="0" autoFill="0" autoPict="0" macro="[1]!Sheet1.deleteProcedure">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355" r:id="rId333" name="Button 331">
              <controlPr locked="0" defaultSize="0" print="0" autoFill="0" autoPict="0" macro="[1]!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356" r:id="rId334" name="Button 332">
              <controlPr locked="0" defaultSize="0" print="0" autoFill="0" autoPict="0" macro="[1]!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357" r:id="rId335" name="Button 333">
              <controlPr locked="0" defaultSize="0" print="0" autoFill="0" autoPict="0" macro="[1]!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358" r:id="rId336" name="Button 334">
              <controlPr locked="0" defaultSize="0" print="0" autoFill="0" autoPict="0" macro="[1]!Sheet1.InsertNewTabl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359" r:id="rId337" name="Button 335">
              <controlPr locked="0" defaultSize="0" print="0" autoFill="0" autoPict="0" macro="[1]!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360" r:id="rId338" name="Button 336">
              <controlPr locked="0" defaultSize="0" print="0" autoFill="0" autoPict="0" macro="[1]!Sheet1.deleteProcedure">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361" r:id="rId339" name="Button 337">
              <controlPr locked="0" defaultSize="0" print="0" autoFill="0" autoPict="0" macro="[1]!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362" r:id="rId340" name="Button 338">
              <controlPr locked="0" defaultSize="0" print="0" autoFill="0" autoPict="0" macro="[1]!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363" r:id="rId341" name="Button 339">
              <controlPr locked="0" defaultSize="0" print="0" autoFill="0" autoPict="0" macro="[1]!Sheet1.InsertNewTabl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364" r:id="rId342" name="Button 340">
              <controlPr locked="0" defaultSize="0" print="0" autoFill="0" autoPict="0" macro="[1]!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365" r:id="rId343" name="Button 341">
              <controlPr locked="0" defaultSize="0" print="0" autoFill="0" autoPict="0" macro="[1]!Sheet1.deleteProcedure">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366" r:id="rId344" name="Button 342">
              <controlPr locked="0" defaultSize="0" print="0" autoFill="0" autoPict="0" macro="[1]!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367" r:id="rId345" name="Button 343">
              <controlPr locked="0" defaultSize="0" print="0" autoFill="0" autoPict="0" macro="[1]!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368" r:id="rId346" name="Button 344">
              <controlPr locked="0" defaultSize="0" print="0" autoFill="0" autoPict="0" macro="[1]!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369" r:id="rId347" name="Button 345">
              <controlPr locked="0" defaultSize="0" print="0" autoFill="0" autoPict="0" macro="[1]!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370" r:id="rId348" name="Button 346">
              <controlPr locked="0" defaultSize="0" print="0" autoFill="0" autoPict="0" macro="[1]!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371" r:id="rId349" name="Button 347">
              <controlPr locked="0" defaultSize="0" print="0" autoFill="0" autoPict="0" macro="[1]!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372" r:id="rId350" name="Button 348">
              <controlPr locked="0" defaultSize="0" print="0" autoFill="0" autoPict="0" macro="[1]!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373" r:id="rId351" name="Button 349">
              <controlPr locked="0" defaultSize="0" print="0" autoFill="0" autoPict="0" macro="[1]!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374" r:id="rId352" name="Button 350">
              <controlPr locked="0" defaultSize="0" print="0" autoFill="0" autoPict="0" macro="[1]!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375" r:id="rId353" name="Button 351">
              <controlPr locked="0" defaultSize="0" print="0" autoFill="0" autoPict="0" macro="[1]!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376" r:id="rId354" name="Button 352">
              <controlPr locked="0" defaultSize="0" print="0" autoFill="0" autoPict="0" macro="[1]!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377" r:id="rId355" name="Button 353">
              <controlPr locked="0" defaultSize="0" print="0" autoFill="0" autoPict="0" macro="[1]!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378" r:id="rId356" name="Button 354">
              <controlPr locked="0" defaultSize="0" print="0" autoFill="0" autoPict="0" macro="[1]!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379" r:id="rId357" name="Button 355">
              <controlPr locked="0" defaultSize="0" print="0" autoFill="0" autoPict="0" macro="[1]!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380" r:id="rId358" name="Button 356">
              <controlPr locked="0" defaultSize="0" print="0" autoFill="0" autoPict="0" macro="[1]!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381" r:id="rId359" name="Button 357">
              <controlPr locked="0" defaultSize="0" print="0" autoFill="0" autoPict="0" macro="[1]!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382" r:id="rId360" name="Button 358">
              <controlPr locked="0" defaultSize="0" print="0" autoFill="0" autoPict="0" macro="[1]!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383" r:id="rId361" name="Button 359">
              <controlPr locked="0" defaultSize="0" print="0" autoFill="0" autoPict="0" macro="[1]!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384" r:id="rId362" name="Button 360">
              <controlPr locked="0" defaultSize="0" print="0" autoFill="0" autoPict="0" macro="[1]!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385" r:id="rId363" name="Button 361">
              <controlPr locked="0" defaultSize="0" print="0" autoFill="0" autoPict="0" macro="[1]!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386" r:id="rId364" name="Button 362">
              <controlPr locked="0" defaultSize="0" print="0" autoFill="0" autoPict="0" macro="[1]!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387" r:id="rId365" name="Button 363">
              <controlPr locked="0" defaultSize="0" print="0" autoFill="0" autoPict="0" macro="[1]!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388" r:id="rId366" name="Button 364">
              <controlPr locked="0" defaultSize="0" print="0" autoFill="0" autoPict="0" macro="[1]!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389" r:id="rId367" name="Button 365">
              <controlPr locked="0" defaultSize="0" print="0" autoFill="0" autoPict="0" macro="[1]!Sheet1.InsertNewTabl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390" r:id="rId368" name="Button 366">
              <controlPr locked="0" defaultSize="0" print="0" autoFill="0" autoPict="0" macro="[1]!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391" r:id="rId369" name="Button 367">
              <controlPr locked="0" defaultSize="0" print="0" autoFill="0" autoPict="0" macro="[1]!Sheet1.deleteProcedure">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392" r:id="rId370" name="Button 368">
              <controlPr locked="0" defaultSize="0" print="0" autoFill="0" autoPict="0" macro="[1]!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393" r:id="rId371" name="Button 369">
              <controlPr locked="0" defaultSize="0" print="0" autoFill="0" autoPict="0" macro="[1]!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394" r:id="rId372" name="Button 370">
              <controlPr locked="0" defaultSize="0" print="0" autoFill="0" autoPict="0" macro="[1]!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395" r:id="rId373" name="Button 371">
              <controlPr locked="0" defaultSize="0" print="0" autoFill="0" autoPict="0" macro="[1]!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396" r:id="rId374" name="Button 372">
              <controlPr locked="0" defaultSize="0" print="0" autoFill="0" autoPict="0" macro="[1]!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397" r:id="rId375" name="Button 373">
              <controlPr locked="0" defaultSize="0" print="0" autoFill="0" autoPict="0" macro="[1]!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398" r:id="rId376" name="Button 374">
              <controlPr locked="0" defaultSize="0" print="0" autoFill="0" autoPict="0" macro="[1]!Sheet1.InsertNewTabl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399" r:id="rId377" name="Button 375">
              <controlPr locked="0" defaultSize="0" print="0" autoFill="0" autoPict="0" macro="[1]!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400" r:id="rId378" name="Button 376">
              <controlPr locked="0" defaultSize="0" print="0" autoFill="0" autoPict="0" macro="[1]!Sheet1.deleteProcedure">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401" r:id="rId379" name="Button 377">
              <controlPr locked="0" defaultSize="0" print="0" autoFill="0" autoPict="0" macro="[1]!Sheet1.InsertNewTabl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402" r:id="rId380" name="Button 378">
              <controlPr locked="0" defaultSize="0" print="0" autoFill="0" autoPict="0" macro="[1]!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403" r:id="rId381" name="Button 379">
              <controlPr locked="0" defaultSize="0" print="0" autoFill="0" autoPict="0" macro="[1]!Sheet1.deleteProcedure">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404" r:id="rId382" name="Button 380">
              <controlPr locked="0" defaultSize="0" print="0" autoFill="0" autoPict="0" macro="[1]!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405" r:id="rId383" name="Button 381">
              <controlPr locked="0" defaultSize="0" print="0" autoFill="0" autoPict="0" macro="[1]!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406" r:id="rId384" name="Button 382">
              <controlPr locked="0" defaultSize="0" print="0" autoFill="0" autoPict="0" macro="[1]!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407" r:id="rId385" name="Button 383">
              <controlPr locked="0" defaultSize="0" print="0" autoFill="0" autoPict="0" macro="[1]!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408" r:id="rId386" name="Button 384">
              <controlPr locked="0" defaultSize="0" print="0" autoFill="0" autoPict="0" macro="[1]!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409" r:id="rId387" name="Button 385">
              <controlPr locked="0" defaultSize="0" print="0" autoFill="0" autoPict="0" macro="[1]!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410" r:id="rId388" name="Button 386">
              <controlPr locked="0" defaultSize="0" print="0" autoFill="0" autoPict="0" macro="[1]!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411" r:id="rId389" name="Button 387">
              <controlPr locked="0" defaultSize="0" print="0" autoFill="0" autoPict="0" macro="[1]!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412" r:id="rId390" name="Button 388">
              <controlPr locked="0" defaultSize="0" print="0" autoFill="0" autoPict="0" macro="[1]!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413" r:id="rId391" name="Button 389">
              <controlPr locked="0" defaultSize="0" print="0" autoFill="0" autoPict="0" macro="[1]!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414" r:id="rId392" name="Button 390">
              <controlPr locked="0" defaultSize="0" print="0" autoFill="0" autoPict="0" macro="[1]!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415" r:id="rId393" name="Button 391">
              <controlPr locked="0" defaultSize="0" print="0" autoFill="0" autoPict="0" macro="[1]!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416" r:id="rId394" name="Button 392">
              <controlPr locked="0" defaultSize="0" print="0" autoFill="0" autoPict="0" macro="[1]!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417" r:id="rId395" name="Button 393">
              <controlPr locked="0" defaultSize="0" print="0" autoFill="0" autoPict="0" macro="[1]!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418" r:id="rId396" name="Button 394">
              <controlPr locked="0" defaultSize="0" print="0" autoFill="0" autoPict="0" macro="[1]!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419" r:id="rId397" name="Button 395">
              <controlPr locked="0" defaultSize="0" print="0" autoFill="0" autoPict="0" macro="[1]!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420" r:id="rId398" name="Button 396">
              <controlPr locked="0" defaultSize="0" print="0" autoFill="0" autoPict="0" macro="[1]!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421" r:id="rId399" name="Button 397">
              <controlPr locked="0" defaultSize="0" print="0" autoFill="0" autoPict="0" macro="[1]!Sheet1.InsertNewTabl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422" r:id="rId400" name="Button 398">
              <controlPr locked="0" defaultSize="0" print="0" autoFill="0" autoPict="0" macro="[1]!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423" r:id="rId401" name="Button 399">
              <controlPr locked="0" defaultSize="0" print="0" autoFill="0" autoPict="0" macro="[1]!Sheet1.deleteProcedure">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424" r:id="rId402" name="Button 400">
              <controlPr locked="0" defaultSize="0" print="0" autoFill="0" autoPict="0" macro="[1]!Sheet1.InsertNewTabl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425" r:id="rId403" name="Button 401">
              <controlPr locked="0" defaultSize="0" print="0" autoFill="0" autoPict="0" macro="[1]!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426" r:id="rId404" name="Button 402">
              <controlPr locked="0" defaultSize="0" print="0" autoFill="0" autoPict="0" macro="[1]!Sheet1.deleteProcedure">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427" r:id="rId405" name="Button 403">
              <controlPr locked="0" defaultSize="0" print="0" autoFill="0" autoPict="0" macro="[1]!Sheet1.InsertNewTabl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428" r:id="rId406" name="Button 404">
              <controlPr locked="0" defaultSize="0" print="0" autoFill="0" autoPict="0" macro="[1]!Sheet1.deleteProcedure">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429" r:id="rId407" name="Button 405">
              <controlPr locked="0" defaultSize="0" print="0" autoFill="0" autoPict="0" macro="[1]!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430" r:id="rId408" name="Button 406">
              <controlPr locked="0" defaultSize="0" print="0" autoFill="0" autoPict="0" macro="[1]!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431" r:id="rId409" name="Button 407">
              <controlPr locked="0" defaultSize="0" print="0" autoFill="0" autoPict="0" macro="[1]!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432" r:id="rId410" name="Button 408">
              <controlPr locked="0" defaultSize="0" print="0" autoFill="0" autoPict="0" macro="[1]!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433" r:id="rId411" name="Button 409">
              <controlPr locked="0" defaultSize="0" print="0" autoFill="0" autoPict="0" macro="[1]!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434" r:id="rId412" name="Button 410">
              <controlPr locked="0" defaultSize="0" print="0" autoFill="0" autoPict="0" macro="[1]!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435" r:id="rId413" name="Button 411">
              <controlPr locked="0" defaultSize="0" print="0" autoFill="0" autoPict="0" macro="[1]!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436" r:id="rId414" name="Button 412">
              <controlPr locked="0" defaultSize="0" print="0" autoFill="0" autoPict="0" macro="[1]!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437" r:id="rId415" name="Button 413">
              <controlPr locked="0" defaultSize="0" print="0" autoFill="0" autoPict="0" macro="[1]!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438" r:id="rId416" name="Button 414">
              <controlPr locked="0" defaultSize="0" print="0" autoFill="0" autoPict="0" macro="[1]!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439" r:id="rId417" name="Button 415">
              <controlPr locked="0" defaultSize="0" print="0" autoFill="0" autoPict="0" macro="[1]!Sheet1.InsertNewTabl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440" r:id="rId418" name="Button 416">
              <controlPr locked="0" defaultSize="0" print="0" autoFill="0" autoPict="0" macro="[1]!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441" r:id="rId419" name="Button 417">
              <controlPr locked="0" defaultSize="0" print="0" autoFill="0" autoPict="0" macro="[1]!Sheet1.deleteProcedure">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442" r:id="rId420" name="Button 418">
              <controlPr locked="0" defaultSize="0" print="0" autoFill="0" autoPict="0" macro="[1]!Sheet1.InsertNewTabl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443" r:id="rId421" name="Button 419">
              <controlPr locked="0" defaultSize="0" print="0" autoFill="0" autoPict="0" macro="[1]!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444" r:id="rId422" name="Button 420">
              <controlPr locked="0" defaultSize="0" print="0" autoFill="0" autoPict="0" macro="[1]!Sheet1.deleteProcedure">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445" r:id="rId423" name="Button 421">
              <controlPr locked="0" defaultSize="0" print="0" autoFill="0" autoPict="0" macro="[1]!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446" r:id="rId424" name="Button 422">
              <controlPr locked="0" defaultSize="0" print="0" autoFill="0" autoPict="0" macro="[1]!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447" r:id="rId425" name="Button 423">
              <controlPr locked="0" defaultSize="0" print="0" autoFill="0" autoPict="0" macro="[1]!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448" r:id="rId426" name="Button 424">
              <controlPr locked="0" defaultSize="0" print="0" autoFill="0" autoPict="0" macro="[1]!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449" r:id="rId427" name="Button 425">
              <controlPr locked="0" defaultSize="0" print="0" autoFill="0" autoPict="0" macro="[1]!Sheet1.InsertNewTabl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450" r:id="rId428" name="Button 426">
              <controlPr locked="0" defaultSize="0" print="0" autoFill="0" autoPict="0" macro="[1]!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451" r:id="rId429" name="Button 427">
              <controlPr locked="0" defaultSize="0" print="0" autoFill="0" autoPict="0" macro="[1]!Sheet1.deleteProcedure">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452" r:id="rId430" name="Button 428">
              <controlPr locked="0" defaultSize="0" print="0" autoFill="0" autoPict="0" macro="[1]!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453" r:id="rId431" name="Button 429">
              <controlPr locked="0" defaultSize="0" print="0" autoFill="0" autoPict="0" macro="[1]!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454" r:id="rId432" name="Button 430">
              <controlPr locked="0" defaultSize="0" print="0" autoFill="0" autoPict="0" macro="[1]!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455" r:id="rId433" name="Button 431">
              <controlPr locked="0" defaultSize="0" print="0" autoFill="0" autoPict="0" macro="[1]!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456" r:id="rId434" name="Button 432">
              <controlPr locked="0" defaultSize="0" print="0" autoFill="0" autoPict="0" macro="[1]!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457" r:id="rId435" name="Button 433">
              <controlPr locked="0" defaultSize="0" print="0" autoFill="0" autoPict="0" macro="[1]!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458" r:id="rId436" name="Button 434">
              <controlPr locked="0" defaultSize="0" print="0" autoFill="0" autoPict="0" macro="[1]!Sheet1.InsertNewTabl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459" r:id="rId437" name="Button 435">
              <controlPr locked="0" defaultSize="0" print="0" autoFill="0" autoPict="0" macro="[1]!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460" r:id="rId438" name="Button 436">
              <controlPr locked="0" defaultSize="0" print="0" autoFill="0" autoPict="0" macro="[1]!Sheet1.deleteProcedure">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461" r:id="rId439" name="Button 437">
              <controlPr locked="0" defaultSize="0" print="0" autoFill="0" autoPict="0" macro="[1]!Sheet1.InsertNewTabl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462" r:id="rId440" name="Button 438">
              <controlPr locked="0" defaultSize="0" print="0" autoFill="0" autoPict="0" macro="[1]!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463" r:id="rId441" name="Button 439">
              <controlPr locked="0" defaultSize="0" print="0" autoFill="0" autoPict="0" macro="[1]!Sheet1.deleteProcedure">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464" r:id="rId442" name="Button 440">
              <controlPr locked="0" defaultSize="0" print="0" autoFill="0" autoPict="0" macro="[1]!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465" r:id="rId443" name="Button 441">
              <controlPr locked="0" defaultSize="0" print="0" autoFill="0" autoPict="0" macro="[1]!Sheet1.InsertNewTabl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466" r:id="rId444" name="Button 442">
              <controlPr locked="0" defaultSize="0" print="0" autoFill="0" autoPict="0" macro="[1]!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467" r:id="rId445" name="Button 443">
              <controlPr locked="0" defaultSize="0" print="0" autoFill="0" autoPict="0" macro="[1]!Sheet1.deleteProcedure">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468" r:id="rId446" name="Button 444">
              <controlPr locked="0" defaultSize="0" print="0" autoFill="0" autoPict="0" macro="[1]!Sheet1.InsertNewTabl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469" r:id="rId447" name="Button 445">
              <controlPr locked="0" defaultSize="0" print="0" autoFill="0" autoPict="0" macro="[1]!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470" r:id="rId448" name="Button 446">
              <controlPr locked="0" defaultSize="0" print="0" autoFill="0" autoPict="0" macro="[1]!Sheet1.deleteProcedure">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471" r:id="rId449" name="Button 447">
              <controlPr locked="0" defaultSize="0" print="0" autoFill="0" autoPict="0" macro="[1]!Sheet1.InsertNewTabl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472" r:id="rId450" name="Button 448">
              <controlPr locked="0" defaultSize="0" print="0" autoFill="0" autoPict="0" macro="[1]!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473" r:id="rId451" name="Button 449">
              <controlPr locked="0" defaultSize="0" print="0" autoFill="0" autoPict="0" macro="[1]!Sheet1.deleteProcedure">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474" r:id="rId452" name="Button 450">
              <controlPr locked="0" defaultSize="0" print="0" autoFill="0" autoPict="0" macro="[1]!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475" r:id="rId453" name="Button 451">
              <controlPr locked="0" defaultSize="0" print="0" autoFill="0" autoPict="0" macro="[1]!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476" r:id="rId454" name="Button 452">
              <controlPr locked="0" defaultSize="0" print="0" autoFill="0" autoPict="0" macro="[1]!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477" r:id="rId455" name="Button 453">
              <controlPr locked="0" defaultSize="0" print="0" autoFill="0" autoPict="0" macro="[1]!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478" r:id="rId456" name="Button 454">
              <controlPr locked="0" defaultSize="0" print="0" autoFill="0" autoPict="0" macro="[1]!Sheet1.InsertNewTabl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479" r:id="rId457" name="Button 455">
              <controlPr locked="0" defaultSize="0" print="0" autoFill="0" autoPict="0" macro="[1]!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480" r:id="rId458" name="Button 456">
              <controlPr locked="0" defaultSize="0" print="0" autoFill="0" autoPict="0" macro="[1]!Sheet1.deleteProcedure">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481" r:id="rId459" name="Button 457">
              <controlPr locked="0" defaultSize="0" print="0" autoFill="0" autoPict="0" macro="[1]!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482" r:id="rId460" name="Button 458">
              <controlPr locked="0" defaultSize="0" print="0" autoFill="0" autoPict="0" macro="[1]!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483" r:id="rId461" name="Button 459">
              <controlPr locked="0" defaultSize="0" print="0" autoFill="0" autoPict="0" macro="[1]!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484" r:id="rId462" name="Button 460">
              <controlPr locked="0" defaultSize="0" print="0" autoFill="0" autoPict="0" macro="[1]!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485" r:id="rId463" name="Button 461">
              <controlPr locked="0" defaultSize="0" print="0" autoFill="0" autoPict="0" macro="[1]!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486" r:id="rId464" name="Button 462">
              <controlPr locked="0" defaultSize="0" print="0" autoFill="0" autoPict="0" macro="[1]!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487" r:id="rId465" name="Button 463">
              <controlPr locked="0" defaultSize="0" print="0" autoFill="0" autoPict="0" macro="[1]!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488" r:id="rId466" name="Button 464">
              <controlPr locked="0" defaultSize="0" print="0" autoFill="0" autoPict="0" macro="[1]!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489" r:id="rId467" name="Button 465">
              <controlPr locked="0" defaultSize="0" print="0" autoFill="0" autoPict="0" macro="[1]!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490" r:id="rId468" name="Button 466">
              <controlPr locked="0" defaultSize="0" print="0" autoFill="0" autoPict="0" macro="[1]!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491" r:id="rId469" name="Button 467">
              <controlPr locked="0" defaultSize="0" print="0" autoFill="0" autoPict="0" macro="[1]!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492" r:id="rId470" name="Button 468">
              <controlPr locked="0" defaultSize="0" print="0" autoFill="0" autoPict="0" macro="[1]!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493" r:id="rId471" name="Button 469">
              <controlPr locked="0" defaultSize="0" print="0" autoFill="0" autoPict="0" macro="[1]!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494" r:id="rId472" name="Button 470">
              <controlPr locked="0" defaultSize="0" print="0" autoFill="0" autoPict="0" macro="[1]!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495" r:id="rId473" name="Button 471">
              <controlPr locked="0" defaultSize="0" print="0" autoFill="0" autoPict="0" macro="[1]!Sheet1.InsertNewTabl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496" r:id="rId474" name="Button 472">
              <controlPr locked="0" defaultSize="0" print="0" autoFill="0" autoPict="0" macro="[1]!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497" r:id="rId475" name="Button 473">
              <controlPr locked="0" defaultSize="0" print="0" autoFill="0" autoPict="0" macro="[1]!Sheet1.deleteProcedure">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498" r:id="rId476" name="Button 474">
              <controlPr locked="0" defaultSize="0" print="0" autoFill="0" autoPict="0" macro="[1]!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499" r:id="rId477" name="Button 475">
              <controlPr locked="0" defaultSize="0" print="0" autoFill="0" autoPict="0" macro="[1]!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500" r:id="rId478" name="Button 476">
              <controlPr locked="0" defaultSize="0" print="0" autoFill="0" autoPict="0" macro="[1]!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501" r:id="rId479" name="Button 477">
              <controlPr locked="0" defaultSize="0" print="0" autoFill="0" autoPict="0" macro="[1]!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502" r:id="rId480" name="Button 478">
              <controlPr locked="0" defaultSize="0" print="0" autoFill="0" autoPict="0" macro="[1]!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503" r:id="rId481" name="Button 479">
              <controlPr locked="0" defaultSize="0" print="0" autoFill="0" autoPict="0" macro="[1]!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504" r:id="rId482" name="Button 480">
              <controlPr locked="0" defaultSize="0" print="0" autoFill="0" autoPict="0" macro="[1]!Sheet1.InsertNewTabl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505" r:id="rId483" name="Button 481">
              <controlPr locked="0" defaultSize="0" print="0" autoFill="0" autoPict="0" macro="[1]!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506" r:id="rId484" name="Button 482">
              <controlPr locked="0" defaultSize="0" print="0" autoFill="0" autoPict="0" macro="[1]!Sheet1.deleteProcedure">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507" r:id="rId485" name="Button 483">
              <controlPr locked="0" defaultSize="0" print="0" autoFill="0" autoPict="0" macro="[1]!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508" r:id="rId486" name="Button 484">
              <controlPr locked="0" defaultSize="0" print="0" autoFill="0" autoPict="0" macro="[1]!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509" r:id="rId487" name="Button 485">
              <controlPr locked="0" defaultSize="0" print="0" autoFill="0" autoPict="0" macro="[1]!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510" r:id="rId488" name="Button 486">
              <controlPr locked="0" defaultSize="0" print="0" autoFill="0" autoPict="0" macro="[1]!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511" r:id="rId489" name="Button 487">
              <controlPr locked="0" defaultSize="0" print="0" autoFill="0" autoPict="0" macro="[1]!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512" r:id="rId490" name="Button 488">
              <controlPr locked="0" defaultSize="0" print="0" autoFill="0" autoPict="0" macro="[1]!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513" r:id="rId491" name="Button 489">
              <controlPr locked="0" defaultSize="0" print="0" autoFill="0" autoPict="0" macro="[1]!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514" r:id="rId492" name="Button 490">
              <controlPr locked="0" defaultSize="0" print="0" autoFill="0" autoPict="0" macro="[1]!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515" r:id="rId493" name="Button 491">
              <controlPr locked="0" defaultSize="0" print="0" autoFill="0" autoPict="0" macro="[1]!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516" r:id="rId494" name="Button 492">
              <controlPr locked="0" defaultSize="0" print="0" autoFill="0" autoPict="0" macro="[1]!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517" r:id="rId495" name="Button 493">
              <controlPr locked="0" defaultSize="0" print="0" autoFill="0" autoPict="0" macro="[1]!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518" r:id="rId496" name="Button 494">
              <controlPr locked="0" defaultSize="0" print="0" autoFill="0" autoPict="0" macro="[1]!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519" r:id="rId497" name="Button 495">
              <controlPr locked="0" defaultSize="0" print="0" autoFill="0" autoPict="0" macro="[1]!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520" r:id="rId498" name="Button 496">
              <controlPr locked="0" defaultSize="0" print="0" autoFill="0" autoPict="0" macro="[1]!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521" r:id="rId499" name="Button 497">
              <controlPr locked="0" defaultSize="0" print="0" autoFill="0" autoPict="0" macro="[1]!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522" r:id="rId500" name="Button 498">
              <controlPr locked="0" defaultSize="0" print="0" autoFill="0" autoPict="0" macro="[1]!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523" r:id="rId501" name="Button 499">
              <controlPr locked="0" defaultSize="0" print="0" autoFill="0" autoPict="0" macro="[1]!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524" r:id="rId502" name="Button 500">
              <controlPr locked="0" defaultSize="0" print="0" autoFill="0" autoPict="0" macro="[1]!Sheet1.InsertNewTabl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525" r:id="rId503" name="Button 501">
              <controlPr locked="0" defaultSize="0" print="0" autoFill="0" autoPict="0" macro="[1]!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526" r:id="rId504" name="Button 502">
              <controlPr locked="0" defaultSize="0" print="0" autoFill="0" autoPict="0" macro="[1]!Sheet1.deleteProcedure">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527" r:id="rId505" name="Button 503">
              <controlPr locked="0" defaultSize="0" print="0" autoFill="0" autoPict="0" macro="[1]!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528" r:id="rId506" name="Button 504">
              <controlPr locked="0" defaultSize="0" print="0" autoFill="0" autoPict="0" macro="[1]!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529" r:id="rId507" name="Button 505">
              <controlPr locked="0" defaultSize="0" print="0" autoFill="0" autoPict="0" macro="[1]!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530" r:id="rId508" name="Button 506">
              <controlPr locked="0" defaultSize="0" print="0" autoFill="0" autoPict="0" macro="[1]!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531" r:id="rId509" name="Button 507">
              <controlPr locked="0" defaultSize="0" print="0" autoFill="0" autoPict="0" macro="[1]!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532" r:id="rId510" name="Button 508">
              <controlPr locked="0" defaultSize="0" print="0" autoFill="0" autoPict="0" macro="[1]!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533" r:id="rId511" name="Button 509">
              <controlPr locked="0" defaultSize="0" print="0" autoFill="0" autoPict="0" macro="[1]!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534" r:id="rId512" name="Button 510">
              <controlPr locked="0" defaultSize="0" print="0" autoFill="0" autoPict="0" macro="[1]!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535" r:id="rId513" name="Button 511">
              <controlPr locked="0" defaultSize="0" print="0" autoFill="0" autoPict="0" macro="[1]!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536" r:id="rId514" name="Button 512">
              <controlPr locked="0" defaultSize="0" print="0" autoFill="0" autoPict="0" macro="[1]!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537" r:id="rId515" name="Button 513">
              <controlPr locked="0" defaultSize="0" print="0" autoFill="0" autoPict="0" macro="[1]!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538" r:id="rId516" name="Button 514">
              <controlPr locked="0" defaultSize="0" print="0" autoFill="0" autoPict="0" macro="[1]!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539" r:id="rId517" name="Button 515">
              <controlPr locked="0" defaultSize="0" print="0" autoFill="0" autoPict="0" macro="[1]!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540" r:id="rId518" name="Button 516">
              <controlPr locked="0" defaultSize="0" print="0" autoFill="0" autoPict="0" macro="[1]!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541" r:id="rId519" name="Button 517">
              <controlPr locked="0" defaultSize="0" print="0" autoFill="0" autoPict="0" macro="[1]!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542" r:id="rId520" name="Button 518">
              <controlPr locked="0" defaultSize="0" print="0" autoFill="0" autoPict="0" macro="[1]!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543" r:id="rId521" name="Button 519">
              <controlPr locked="0" defaultSize="0" print="0" autoFill="0" autoPict="0" macro="[1]!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544" r:id="rId522" name="Button 520">
              <controlPr locked="0" defaultSize="0" print="0" autoFill="0" autoPict="0" macro="[1]!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545" r:id="rId523" name="Button 521">
              <controlPr locked="0" defaultSize="0" print="0" autoFill="0" autoPict="0" macro="[1]!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546" r:id="rId524" name="Button 522">
              <controlPr locked="0" defaultSize="0" print="0" autoFill="0" autoPict="0" macro="[1]!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547" r:id="rId525" name="Button 523">
              <controlPr locked="0" defaultSize="0" print="0" autoFill="0" autoPict="0" macro="[1]!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548" r:id="rId526" name="Button 524">
              <controlPr locked="0" defaultSize="0" print="0" autoFill="0" autoPict="0" macro="[1]!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549" r:id="rId527" name="Button 525">
              <controlPr locked="0" defaultSize="0" print="0" autoFill="0" autoPict="0" macro="[1]!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550" r:id="rId528" name="Button 526">
              <controlPr locked="0" defaultSize="0" print="0" autoFill="0" autoPict="0" macro="[1]!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551" r:id="rId529" name="Button 527">
              <controlPr locked="0" defaultSize="0" print="0" autoFill="0" autoPict="0" macro="[1]!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552" r:id="rId530" name="Button 528">
              <controlPr locked="0" defaultSize="0" print="0" autoFill="0" autoPict="0" macro="[1]!Sheet1.InsertNewTabl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553" r:id="rId531" name="Button 529">
              <controlPr locked="0" defaultSize="0" print="0" autoFill="0" autoPict="0" macro="[1]!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554" r:id="rId532" name="Button 530">
              <controlPr locked="0" defaultSize="0" print="0" autoFill="0" autoPict="0" macro="[1]!Sheet1.deleteProcedure">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555" r:id="rId533" name="Button 531">
              <controlPr locked="0" defaultSize="0" print="0" autoFill="0" autoPict="0" macro="[1]!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556" r:id="rId534" name="Button 532">
              <controlPr locked="0" defaultSize="0" print="0" autoFill="0" autoPict="0" macro="[1]!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557" r:id="rId535" name="Button 533">
              <controlPr locked="0" defaultSize="0" print="0" autoFill="0" autoPict="0" macro="[1]!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558" r:id="rId536" name="Button 534">
              <controlPr locked="0" defaultSize="0" print="0" autoFill="0" autoPict="0" macro="[1]!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559" r:id="rId537" name="Button 535">
              <controlPr locked="0" defaultSize="0" print="0" autoFill="0" autoPict="0" macro="[1]!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560" r:id="rId538" name="Button 536">
              <controlPr locked="0" defaultSize="0" print="0" autoFill="0" autoPict="0" macro="[1]!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561" r:id="rId539" name="Button 537">
              <controlPr locked="0" defaultSize="0" print="0" autoFill="0" autoPict="0" macro="[1]!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562" r:id="rId540" name="Button 538">
              <controlPr locked="0" defaultSize="0" print="0" autoFill="0" autoPict="0" macro="[1]!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563" r:id="rId541" name="Button 539">
              <controlPr locked="0" defaultSize="0" print="0" autoFill="0" autoPict="0" macro="[1]!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564" r:id="rId542" name="Button 540">
              <controlPr locked="0" defaultSize="0" print="0" autoFill="0" autoPict="0" macro="[1]!Sheet1.InsertNewTabl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565" r:id="rId543" name="Button 541">
              <controlPr locked="0" defaultSize="0" print="0" autoFill="0" autoPict="0" macro="[1]!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566" r:id="rId544" name="Button 542">
              <controlPr locked="0" defaultSize="0" print="0" autoFill="0" autoPict="0" macro="[1]!Sheet1.deleteProcedure">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567" r:id="rId545" name="Button 543">
              <controlPr locked="0" defaultSize="0" print="0" autoFill="0" autoPict="0" macro="[1]!Sheet1.InsertNewTabl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568" r:id="rId546" name="Button 544">
              <controlPr locked="0" defaultSize="0" print="0" autoFill="0" autoPict="0" macro="[1]!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569" r:id="rId547" name="Button 545">
              <controlPr locked="0" defaultSize="0" print="0" autoFill="0" autoPict="0" macro="[1]!Sheet1.deleteProcedure">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570" r:id="rId548" name="Button 546">
              <controlPr locked="0" defaultSize="0" print="0" autoFill="0" autoPict="0" macro="[1]!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571" r:id="rId549" name="Button 547">
              <controlPr locked="0" defaultSize="0" print="0" autoFill="0" autoPict="0" macro="[1]!Sheet1.InsertNewTabl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572" r:id="rId550" name="Button 548">
              <controlPr locked="0" defaultSize="0" print="0" autoFill="0" autoPict="0" macro="[1]!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573" r:id="rId551" name="Button 549">
              <controlPr locked="0" defaultSize="0" print="0" autoFill="0" autoPict="0" macro="[1]!Sheet1.deleteProcedure">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574" r:id="rId552" name="Button 550">
              <controlPr locked="0" defaultSize="0" print="0" autoFill="0" autoPict="0" macro="[1]!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575" r:id="rId553" name="Button 551">
              <controlPr locked="0" defaultSize="0" print="0" autoFill="0" autoPict="0" macro="[1]!Sheet1.InsertNewTabl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576" r:id="rId554" name="Button 552">
              <controlPr locked="0" defaultSize="0" print="0" autoFill="0" autoPict="0" macro="[1]!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577" r:id="rId555" name="Button 553">
              <controlPr locked="0" defaultSize="0" print="0" autoFill="0" autoPict="0" macro="[1]!Sheet1.deleteProcedure">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578" r:id="rId556" name="Button 554">
              <controlPr locked="0" defaultSize="0" print="0" autoFill="0" autoPict="0" macro="[1]!Sheet1.InsertNewTabl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579" r:id="rId557" name="Button 555">
              <controlPr locked="0" defaultSize="0" print="0" autoFill="0" autoPict="0" macro="[1]!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580" r:id="rId558" name="Button 556">
              <controlPr locked="0" defaultSize="0" print="0" autoFill="0" autoPict="0" macro="[1]!Sheet1.deleteProcedure">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581" r:id="rId559" name="Button 557">
              <controlPr locked="0" defaultSize="0" print="0" autoFill="0" autoPict="0" macro="[1]!Sheet1.InsertNewTabl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582" r:id="rId560" name="Button 558">
              <controlPr locked="0" defaultSize="0" print="0" autoFill="0" autoPict="0" macro="[1]!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583" r:id="rId561" name="Button 559">
              <controlPr locked="0" defaultSize="0" print="0" autoFill="0" autoPict="0" macro="[1]!Sheet1.deleteProcedure">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584" r:id="rId562" name="Button 560">
              <controlPr locked="0" defaultSize="0" print="0" autoFill="0" autoPict="0" macro="[1]!Sheet1.InsertNewTabl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585" r:id="rId563" name="Button 561">
              <controlPr locked="0" defaultSize="0" print="0" autoFill="0" autoPict="0" macro="[1]!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586" r:id="rId564" name="Button 562">
              <controlPr locked="0" defaultSize="0" print="0" autoFill="0" autoPict="0" macro="[1]!Sheet1.deleteProcedure">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587" r:id="rId565" name="Button 563">
              <controlPr locked="0" defaultSize="0" print="0" autoFill="0" autoPict="0" macro="[1]!Sheet1.InsertNewTabl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588" r:id="rId566" name="Button 564">
              <controlPr locked="0" defaultSize="0" print="0" autoFill="0" autoPict="0" macro="[1]!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589" r:id="rId567" name="Button 565">
              <controlPr locked="0" defaultSize="0" print="0" autoFill="0" autoPict="0" macro="[1]!Sheet1.deleteProcedure">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590" r:id="rId568" name="Button 566">
              <controlPr locked="0" defaultSize="0" print="0" autoFill="0" autoPict="0" macro="[1]!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591" r:id="rId569" name="Button 567">
              <controlPr locked="0" defaultSize="0" print="0" autoFill="0" autoPict="0" macro="[1]!Sheet1.InsertNewTabl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1592" r:id="rId570" name="Button 568">
              <controlPr locked="0" defaultSize="0" print="0" autoFill="0" autoPict="0" macro="[1]!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593" r:id="rId571" name="Button 569">
              <controlPr locked="0" defaultSize="0" print="0" autoFill="0" autoPict="0" macro="[1]!Sheet1.deleteProcedure">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594" r:id="rId572" name="Button 570">
              <controlPr locked="0" defaultSize="0" print="0" autoFill="0" autoPict="0" macro="[1]!Sheet1.InsertNewTabl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595" r:id="rId573" name="Button 571">
              <controlPr locked="0" defaultSize="0" print="0" autoFill="0" autoPict="0" macro="[1]!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596" r:id="rId574" name="Button 572">
              <controlPr locked="0" defaultSize="0" print="0" autoFill="0" autoPict="0" macro="[1]!Sheet1.deleteProcedure">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597" r:id="rId575" name="Button 573">
              <controlPr locked="0" defaultSize="0" print="0" autoFill="0" autoPict="0" macro="[1]!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598" r:id="rId576" name="Button 574">
              <controlPr locked="0" defaultSize="0" print="0" autoFill="0" autoPict="0" macro="[1]!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599" r:id="rId577" name="Button 575">
              <controlPr locked="0" defaultSize="0" print="0" autoFill="0" autoPict="0" macro="[1]!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600" r:id="rId578" name="Button 576">
              <controlPr locked="0" defaultSize="0" print="0" autoFill="0" autoPict="0" macro="[1]!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601" r:id="rId579" name="Button 577">
              <controlPr locked="0" defaultSize="0" print="0" autoFill="0" autoPict="0" macro="[1]!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602" r:id="rId580" name="Button 578">
              <controlPr locked="0" defaultSize="0" print="0" autoFill="0" autoPict="0" macro="[1]!Sheet1.InsertNewTabl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603" r:id="rId581" name="Button 579">
              <controlPr locked="0" defaultSize="0" print="0" autoFill="0" autoPict="0" macro="[1]!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604" r:id="rId582" name="Button 580">
              <controlPr locked="0" defaultSize="0" print="0" autoFill="0" autoPict="0" macro="[1]!Sheet1.deleteProcedure">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605" r:id="rId583" name="Button 581">
              <controlPr locked="0" defaultSize="0" print="0" autoFill="0" autoPict="0" macro="[1]!Sheet1.InsertNewTabl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606" r:id="rId584" name="Button 582">
              <controlPr locked="0" defaultSize="0" print="0" autoFill="0" autoPict="0" macro="[1]!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607" r:id="rId585" name="Button 583">
              <controlPr locked="0" defaultSize="0" print="0" autoFill="0" autoPict="0" macro="[1]!Sheet1.deleteProcedure">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608" r:id="rId586" name="Button 584">
              <controlPr locked="0" defaultSize="0" print="0" autoFill="0" autoPict="0" macro="[1]!Sheet1.InsertNewTabl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609" r:id="rId587" name="Button 585">
              <controlPr locked="0" defaultSize="0" print="0" autoFill="0" autoPict="0" macro="[1]!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610" r:id="rId588" name="Button 586">
              <controlPr locked="0" defaultSize="0" print="0" autoFill="0" autoPict="0" macro="[1]!Sheet1.deleteProcedure">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611" r:id="rId589" name="Button 587">
              <controlPr locked="0" defaultSize="0" print="0" autoFill="0" autoPict="0" macro="[1]!Sheet1.InsertNewTabl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612" r:id="rId590" name="Button 588">
              <controlPr locked="0" defaultSize="0" print="0" autoFill="0" autoPict="0" macro="[1]!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613" r:id="rId591" name="Button 589">
              <controlPr locked="0" defaultSize="0" print="0" autoFill="0" autoPict="0" macro="[1]!Sheet1.deleteProcedure">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614" r:id="rId592" name="Button 590">
              <controlPr locked="0" defaultSize="0" print="0" autoFill="0" autoPict="0" macro="[1]!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615" r:id="rId593" name="Button 591">
              <controlPr locked="0" defaultSize="0" print="0" autoFill="0" autoPict="0" macro="[1]!Sheet1.InsertNewTabl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616" r:id="rId594" name="Button 592">
              <controlPr locked="0" defaultSize="0" print="0" autoFill="0" autoPict="0" macro="[1]!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617" r:id="rId595" name="Button 593">
              <controlPr locked="0" defaultSize="0" print="0" autoFill="0" autoPict="0" macro="[1]!Sheet1.deleteProcedure">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618" r:id="rId596" name="Button 594">
              <controlPr locked="0" defaultSize="0" print="0" autoFill="0" autoPict="0" macro="[1]!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619" r:id="rId597" name="Button 595">
              <controlPr locked="0" defaultSize="0" print="0" autoFill="0" autoPict="0" macro="[1]!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620" r:id="rId598" name="Button 596">
              <controlPr locked="0" defaultSize="0" print="0" autoFill="0" autoPict="0" macro="[1]!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621" r:id="rId599" name="Button 597">
              <controlPr locked="0" defaultSize="0" print="0" autoFill="0" autoPict="0" macro="[1]!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622" r:id="rId600" name="Button 598">
              <controlPr locked="0" defaultSize="0" print="0" autoFill="0" autoPict="0" macro="[1]!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623" r:id="rId601" name="Button 599">
              <controlPr locked="0" defaultSize="0" print="0" autoFill="0" autoPict="0" macro="[1]!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624" r:id="rId602" name="Button 600">
              <controlPr locked="0" defaultSize="0" print="0" autoFill="0" autoPict="0" macro="[1]!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625" r:id="rId603" name="Button 601">
              <controlPr locked="0" defaultSize="0" print="0" autoFill="0" autoPict="0" macro="[1]!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626" r:id="rId604" name="Button 602">
              <controlPr locked="0" defaultSize="0" print="0" autoFill="0" autoPict="0" macro="[1]!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627" r:id="rId605" name="Button 603">
              <controlPr locked="0" defaultSize="0" print="0" autoFill="0" autoPict="0" macro="[1]!Sheet1.InsertNewTabl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628" r:id="rId606" name="Button 604">
              <controlPr locked="0" defaultSize="0" print="0" autoFill="0" autoPict="0" macro="[1]!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629" r:id="rId607" name="Button 605">
              <controlPr locked="0" defaultSize="0" print="0" autoFill="0" autoPict="0" macro="[1]!Sheet1.deleteProcedure">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630" r:id="rId608" name="Button 606">
              <controlPr locked="0" defaultSize="0" print="0" autoFill="0" autoPict="0" macro="[1]!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631" r:id="rId609" name="Button 607">
              <controlPr locked="0" defaultSize="0" print="0" autoFill="0" autoPict="0" macro="[1]!Sheet1.InsertNewTabl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632" r:id="rId610" name="Button 608">
              <controlPr locked="0" defaultSize="0" print="0" autoFill="0" autoPict="0" macro="[1]!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633" r:id="rId611" name="Button 609">
              <controlPr locked="0" defaultSize="0" print="0" autoFill="0" autoPict="0" macro="[1]!Sheet1.deleteProcedure">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634" r:id="rId612" name="Button 610">
              <controlPr locked="0" defaultSize="0" print="0" autoFill="0" autoPict="0" macro="[1]!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635" r:id="rId613" name="Button 611">
              <controlPr locked="0" defaultSize="0" print="0" autoFill="0" autoPict="0" macro="[1]!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636" r:id="rId614" name="Button 612">
              <controlPr locked="0" defaultSize="0" print="0" autoFill="0" autoPict="0" macro="[1]!Sheet1.InsertNewTabl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637" r:id="rId615" name="Button 613">
              <controlPr locked="0" defaultSize="0" print="0" autoFill="0" autoPict="0" macro="[1]!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638" r:id="rId616" name="Button 614">
              <controlPr locked="0" defaultSize="0" print="0" autoFill="0" autoPict="0" macro="[1]!Sheet1.deleteProcedure">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639" r:id="rId617" name="Button 615">
              <controlPr locked="0" defaultSize="0" print="0" autoFill="0" autoPict="0" macro="[1]!Sheet1.InsertNewTabl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640" r:id="rId618" name="Button 616">
              <controlPr locked="0" defaultSize="0" print="0" autoFill="0" autoPict="0" macro="[1]!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641" r:id="rId619" name="Button 617">
              <controlPr locked="0" defaultSize="0" print="0" autoFill="0" autoPict="0" macro="[1]!Sheet1.deleteProcedure">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642" r:id="rId620" name="Button 618">
              <controlPr locked="0" defaultSize="0" print="0" autoFill="0" autoPict="0" macro="[1]!Sheet1.InsertNewTabl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643" r:id="rId621" name="Button 619">
              <controlPr locked="0" defaultSize="0" print="0" autoFill="0" autoPict="0" macro="[1]!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644" r:id="rId622" name="Button 620">
              <controlPr locked="0" defaultSize="0" print="0" autoFill="0" autoPict="0" macro="[1]!Sheet1.deleteProcedure">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645" r:id="rId623" name="Button 621">
              <controlPr locked="0" defaultSize="0" print="0" autoFill="0" autoPict="0" macro="[1]!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646" r:id="rId624" name="Button 622">
              <controlPr locked="0" defaultSize="0" print="0" autoFill="0" autoPict="0" macro="[1]!Sheet1.InsertNewTabl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647" r:id="rId625" name="Button 623">
              <controlPr locked="0" defaultSize="0" print="0" autoFill="0" autoPict="0" macro="[1]!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648" r:id="rId626" name="Button 624">
              <controlPr locked="0" defaultSize="0" print="0" autoFill="0" autoPict="0" macro="[1]!Sheet1.deleteProcedure">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649" r:id="rId627" name="Button 625">
              <controlPr locked="0" defaultSize="0" print="0" autoFill="0" autoPict="0" macro="[1]!Sheet1.InsertNewTabl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650" r:id="rId628" name="Button 626">
              <controlPr locked="0" defaultSize="0" print="0" autoFill="0" autoPict="0" macro="[1]!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651" r:id="rId629" name="Button 627">
              <controlPr locked="0" defaultSize="0" print="0" autoFill="0" autoPict="0" macro="[1]!Sheet1.deleteProcedure">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652" r:id="rId630" name="Button 628">
              <controlPr locked="0" defaultSize="0" print="0" autoFill="0" autoPict="0" macro="[1]!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653" r:id="rId631" name="Button 629">
              <controlPr locked="0" defaultSize="0" print="0" autoFill="0" autoPict="0" macro="[1]!Sheet1.InsertNewTabl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654" r:id="rId632" name="Button 630">
              <controlPr locked="0" defaultSize="0" print="0" autoFill="0" autoPict="0" macro="[1]!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1655" r:id="rId633" name="Button 631">
              <controlPr locked="0" defaultSize="0" print="0" autoFill="0" autoPict="0" macro="[1]!Sheet1.deleteProcedure">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656" r:id="rId634" name="Button 632">
              <controlPr locked="0" defaultSize="0" print="0" autoFill="0" autoPict="0" macro="[1]!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657" r:id="rId635" name="Button 633">
              <controlPr locked="0" defaultSize="0" print="0" autoFill="0" autoPict="0" macro="[1]!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658" r:id="rId636" name="Button 634">
              <controlPr locked="0" defaultSize="0" print="0" autoFill="0" autoPict="0" macro="[1]!Sheet1.InsertNewTabl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659" r:id="rId637" name="Button 635">
              <controlPr locked="0" defaultSize="0" print="0" autoFill="0" autoPict="0" macro="[1]!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660" r:id="rId638" name="Button 636">
              <controlPr locked="0" defaultSize="0" print="0" autoFill="0" autoPict="0" macro="[1]!Sheet1.deleteProcedure">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661" r:id="rId639" name="Button 637">
              <controlPr locked="0" defaultSize="0" print="0" autoFill="0" autoPict="0" macro="[1]!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662" r:id="rId640" name="Button 638">
              <controlPr locked="0" defaultSize="0" print="0" autoFill="0" autoPict="0" macro="[1]!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663" r:id="rId641" name="Button 639">
              <controlPr locked="0" defaultSize="0" print="0" autoFill="0" autoPict="0" macro="[1]!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664" r:id="rId642" name="Button 640">
              <controlPr locked="0" defaultSize="0" print="0" autoFill="0" autoPict="0" macro="[1]!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665" r:id="rId643" name="Button 641">
              <controlPr locked="0" defaultSize="0" print="0" autoFill="0" autoPict="0" macro="[1]!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666" r:id="rId644" name="Button 642">
              <controlPr locked="0" defaultSize="0" print="0" autoFill="0" autoPict="0" macro="[1]!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1667" r:id="rId645" name="Button 643">
              <controlPr locked="0" defaultSize="0" print="0" autoFill="0" autoPict="0" macro="[1]!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668" r:id="rId646" name="Button 644">
              <controlPr locked="0" defaultSize="0" print="0" autoFill="0" autoPict="0" macro="[1]!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669" r:id="rId647" name="Button 645">
              <controlPr locked="0" defaultSize="0" print="0" autoFill="0" autoPict="0" macro="[1]!Sheet1.InsertNewTabl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670" r:id="rId648" name="Button 646">
              <controlPr locked="0" defaultSize="0" print="0" autoFill="0" autoPict="0" macro="[1]!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671" r:id="rId649" name="Button 647">
              <controlPr locked="0" defaultSize="0" print="0" autoFill="0" autoPict="0" macro="[1]!Sheet1.deleteProcedure">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672" r:id="rId650" name="Button 648">
              <controlPr locked="0" defaultSize="0" print="0" autoFill="0" autoPict="0" macro="[1]!Sheet1.InsertNewTabl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673" r:id="rId651" name="Button 649">
              <controlPr locked="0" defaultSize="0" print="0" autoFill="0" autoPict="0" macro="[1]!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1674" r:id="rId652" name="Button 650">
              <controlPr locked="0" defaultSize="0" print="0" autoFill="0" autoPict="0" macro="[1]!Sheet1.deleteProcedure">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675" r:id="rId653" name="Button 651">
              <controlPr locked="0" defaultSize="0" print="0" autoFill="0" autoPict="0" macro="[1]!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1676" r:id="rId654" name="Button 652">
              <controlPr locked="0" defaultSize="0" print="0" autoFill="0" autoPict="0" macro="[1]!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677" r:id="rId655" name="Button 653">
              <controlPr locked="0" defaultSize="0" print="0" autoFill="0" autoPict="0" macro="[1]!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678" r:id="rId656" name="Button 654">
              <controlPr locked="0" defaultSize="0" print="0" autoFill="0" autoPict="0" macro="[1]!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679" r:id="rId657" name="Button 655">
              <controlPr locked="0" defaultSize="0" print="0" autoFill="0" autoPict="0" macro="[1]!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680" r:id="rId658" name="Button 656">
              <controlPr locked="0" defaultSize="0" print="0" autoFill="0" autoPict="0" macro="[1]!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681" r:id="rId659" name="Button 657">
              <controlPr locked="0" defaultSize="0" print="0" autoFill="0" autoPict="0" macro="[1]!Sheet1.InsertNewTabl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682" r:id="rId660" name="Button 658">
              <controlPr locked="0" defaultSize="0" print="0" autoFill="0" autoPict="0" macro="[1]!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683" r:id="rId661" name="Button 659">
              <controlPr locked="0" defaultSize="0" print="0" autoFill="0" autoPict="0" macro="[1]!Sheet1.deleteProcedure">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1684" r:id="rId662" name="Button 660">
              <controlPr locked="0" defaultSize="0" print="0" autoFill="0" autoPict="0" macro="[1]!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685" r:id="rId663" name="Button 661">
              <controlPr locked="0" defaultSize="0" print="0" autoFill="0" autoPict="0" macro="[1]!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686" r:id="rId664" name="Button 662">
              <controlPr locked="0" defaultSize="0" print="0" autoFill="0" autoPict="0" macro="[1]!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687" r:id="rId665" name="Button 663">
              <controlPr locked="0" defaultSize="0" print="0" autoFill="0" autoPict="0" macro="[1]!Sheet1.InsertNewTabl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688" r:id="rId666" name="Button 664">
              <controlPr locked="0" defaultSize="0" print="0" autoFill="0" autoPict="0" macro="[1]!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689" r:id="rId667" name="Button 665">
              <controlPr locked="0" defaultSize="0" print="0" autoFill="0" autoPict="0" macro="[1]!Sheet1.deleteProcedure">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690" r:id="rId668" name="Button 666">
              <controlPr locked="0" defaultSize="0" print="0" autoFill="0" autoPict="0" macro="[1]!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691" r:id="rId669" name="Button 667">
              <controlPr locked="0" defaultSize="0" print="0" autoFill="0" autoPict="0" macro="[1]!Sheet1.InsertNewTabl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692" r:id="rId670" name="Button 668">
              <controlPr locked="0" defaultSize="0" print="0" autoFill="0" autoPict="0" macro="[1]!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693" r:id="rId671" name="Button 669">
              <controlPr locked="0" defaultSize="0" print="0" autoFill="0" autoPict="0" macro="[1]!Sheet1.deleteProcedure">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694" r:id="rId672" name="Button 670">
              <controlPr locked="0" defaultSize="0" print="0" autoFill="0" autoPict="0" macro="[1]!Sheet1.InsertNewTabl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695" r:id="rId673" name="Button 671">
              <controlPr locked="0" defaultSize="0" print="0" autoFill="0" autoPict="0" macro="[1]!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696" r:id="rId674" name="Button 672">
              <controlPr locked="0" defaultSize="0" print="0" autoFill="0" autoPict="0" macro="[1]!Sheet1.deleteProcedure">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697" r:id="rId675" name="Button 673">
              <controlPr locked="0" defaultSize="0" print="0" autoFill="0" autoPict="0" macro="[1]!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1698" r:id="rId676" name="Button 674">
              <controlPr locked="0" defaultSize="0" print="0" autoFill="0" autoPict="0" macro="[1]!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699" r:id="rId677" name="Button 675">
              <controlPr locked="0" defaultSize="0" print="0" autoFill="0" autoPict="0" macro="[1]!Sheet1.deleteProcedure">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700" r:id="rId678" name="Button 676">
              <controlPr locked="0" defaultSize="0" print="0" autoFill="0" autoPict="0" macro="[1]!Sheet1.InsertNewTabl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701" r:id="rId679" name="Button 677">
              <controlPr locked="0" defaultSize="0" print="0" autoFill="0" autoPict="0" macro="[1]!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702" r:id="rId680" name="Button 678">
              <controlPr locked="0" defaultSize="0" print="0" autoFill="0" autoPict="0" macro="[1]!Sheet1.deleteProcedure">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703" r:id="rId681" name="Button 679">
              <controlPr locked="0" defaultSize="0" print="0" autoFill="0" autoPict="0" macro="[1]!Sheet1.InsertNewTabl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704" r:id="rId682" name="Button 680">
              <controlPr locked="0" defaultSize="0" print="0" autoFill="0" autoPict="0" macro="[1]!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705" r:id="rId683" name="Button 681">
              <controlPr locked="0" defaultSize="0" print="0" autoFill="0" autoPict="0" macro="[1]!Sheet1.deleteProcedure">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706" r:id="rId684" name="Button 682">
              <controlPr locked="0" defaultSize="0" print="0" autoFill="0" autoPict="0" macro="[1]!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707" r:id="rId685" name="Button 683">
              <controlPr locked="0" defaultSize="0" print="0" autoFill="0" autoPict="0" macro="[1]!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708" r:id="rId686" name="Button 684">
              <controlPr locked="0" defaultSize="0" print="0" autoFill="0" autoPict="0" macro="[1]!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709" r:id="rId687" name="Button 685">
              <controlPr locked="0" defaultSize="0" print="0" autoFill="0" autoPict="0" macro="[1]!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710" r:id="rId688" name="Button 686">
              <controlPr locked="0" defaultSize="0" print="0" autoFill="0" autoPict="0" macro="[1]!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711" r:id="rId689" name="Button 687">
              <controlPr locked="0" defaultSize="0" print="0" autoFill="0" autoPict="0" macro="[1]!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712" r:id="rId690" name="Button 688">
              <controlPr locked="0" defaultSize="0" print="0" autoFill="0" autoPict="0" macro="[1]!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713" r:id="rId691" name="Button 689">
              <controlPr locked="0" defaultSize="0" print="0" autoFill="0" autoPict="0" macro="[1]!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714" r:id="rId692" name="Button 690">
              <controlPr locked="0" defaultSize="0" print="0" autoFill="0" autoPict="0" macro="[1]!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715" r:id="rId693" name="Button 691">
              <controlPr locked="0" defaultSize="0" print="0" autoFill="0" autoPict="0" macro="[1]!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716" r:id="rId694" name="Button 692">
              <controlPr locked="0" defaultSize="0" print="0" autoFill="0" autoPict="0" macro="[1]!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717" r:id="rId695" name="Button 693">
              <controlPr locked="0" defaultSize="0" print="0" autoFill="0" autoPict="0" macro="[1]!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718" r:id="rId696" name="Button 694">
              <controlPr locked="0" defaultSize="0" print="0" autoFill="0" autoPict="0" macro="[1]!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719" r:id="rId697" name="Button 695">
              <controlPr locked="0" defaultSize="0" print="0" autoFill="0" autoPict="0" macro="[1]!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720" r:id="rId698" name="Button 696">
              <controlPr locked="0" defaultSize="0" print="0" autoFill="0" autoPict="0" macro="[1]!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721" r:id="rId699" name="Button 697">
              <controlPr locked="0" defaultSize="0" print="0" autoFill="0" autoPict="0" macro="[1]!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722" r:id="rId700" name="Button 698">
              <controlPr locked="0" defaultSize="0" print="0" autoFill="0" autoPict="0" macro="[1]!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723" r:id="rId701" name="Button 699">
              <controlPr locked="0" defaultSize="0" print="0" autoFill="0" autoPict="0" macro="[1]!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724" r:id="rId702" name="Button 700">
              <controlPr locked="0" defaultSize="0" print="0" autoFill="0" autoPict="0" macro="[1]!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725" r:id="rId703" name="Button 701">
              <controlPr locked="0" defaultSize="0" print="0" autoFill="0" autoPict="0" macro="[1]!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726" r:id="rId704" name="Button 702">
              <controlPr locked="0" defaultSize="0" print="0" autoFill="0" autoPict="0" macro="[1]!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727" r:id="rId705" name="Button 703">
              <controlPr locked="0" defaultSize="0" print="0" autoFill="0" autoPict="0" macro="[1]!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728" r:id="rId706" name="Button 704">
              <controlPr locked="0" defaultSize="0" print="0" autoFill="0" autoPict="0" macro="[1]!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729" r:id="rId707" name="Button 705">
              <controlPr locked="0" defaultSize="0" print="0" autoFill="0" autoPict="0" macro="[1]!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730" r:id="rId708" name="Button 706">
              <controlPr locked="0" defaultSize="0" print="0" autoFill="0" autoPict="0" macro="[1]!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731" r:id="rId709" name="Button 707">
              <controlPr locked="0" defaultSize="0" print="0" autoFill="0" autoPict="0" macro="[1]!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732" r:id="rId710" name="Button 708">
              <controlPr locked="0" defaultSize="0" print="0" autoFill="0" autoPict="0" macro="[1]!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733" r:id="rId711" name="Button 709">
              <controlPr locked="0" defaultSize="0" print="0" autoFill="0" autoPict="0" macro="[1]!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1734" r:id="rId712" name="Button 710">
              <controlPr locked="0" defaultSize="0" print="0" autoFill="0" autoPict="0" macro="[1]!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735" r:id="rId713" name="Button 711">
              <controlPr locked="0" defaultSize="0" print="0" autoFill="0" autoPict="0" macro="[1]!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736" r:id="rId714" name="Button 712">
              <controlPr locked="0" defaultSize="0" print="0" autoFill="0" autoPict="0" macro="[1]!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737" r:id="rId715" name="Button 713">
              <controlPr locked="0" defaultSize="0" print="0" autoFill="0" autoPict="0" macro="[1]!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1738" r:id="rId716" name="Button 714">
              <controlPr locked="0" defaultSize="0" print="0" autoFill="0" autoPict="0" macro="[1]!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1739" r:id="rId717" name="Button 715">
              <controlPr locked="0" defaultSize="0" print="0" autoFill="0" autoPict="0" macro="[1]!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740" r:id="rId718" name="Button 716">
              <controlPr locked="0" defaultSize="0" print="0" autoFill="0" autoPict="0" macro="[1]!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741" r:id="rId719" name="Button 717">
              <controlPr locked="0" defaultSize="0" print="0" autoFill="0" autoPict="0" macro="[1]!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742" r:id="rId720" name="Button 718">
              <controlPr locked="0" defaultSize="0" print="0" autoFill="0" autoPict="0" macro="[1]!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743" r:id="rId721" name="Button 719">
              <controlPr locked="0" defaultSize="0" print="0" autoFill="0" autoPict="0" macro="[1]!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744" r:id="rId722" name="Button 720">
              <controlPr locked="0" defaultSize="0" print="0" autoFill="0" autoPict="0" macro="[1]!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745" r:id="rId723" name="Button 721">
              <controlPr locked="0" defaultSize="0" print="0" autoFill="0" autoPict="0" macro="[1]!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746" r:id="rId724" name="Button 722">
              <controlPr locked="0" defaultSize="0" print="0" autoFill="0" autoPict="0" macro="[1]!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747" r:id="rId725" name="Button 723">
              <controlPr locked="0" defaultSize="0" print="0" autoFill="0" autoPict="0" macro="[1]!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748" r:id="rId726" name="Button 724">
              <controlPr locked="0" defaultSize="0" print="0" autoFill="0" autoPict="0" macro="[1]!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749" r:id="rId727" name="Button 725">
              <controlPr locked="0" defaultSize="0" print="0" autoFill="0" autoPict="0" macro="[1]!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1750" r:id="rId728" name="Button 726">
              <controlPr locked="0" defaultSize="0" print="0" autoFill="0" autoPict="0" macro="[1]!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1751" r:id="rId729" name="Button 727">
              <controlPr locked="0" defaultSize="0" print="0" autoFill="0" autoPict="0" macro="[1]!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752" r:id="rId730" name="Button 728">
              <controlPr locked="0" defaultSize="0" print="0" autoFill="0" autoPict="0" macro="[1]!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1753" r:id="rId731" name="Button 729">
              <controlPr locked="0" defaultSize="0" print="0" autoFill="0" autoPict="0" macro="[1]!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1754" r:id="rId732" name="Button 730">
              <controlPr locked="0" defaultSize="0" print="0" autoFill="0" autoPict="0" macro="[1]!Sheet1.InsertNewTabl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1755" r:id="rId733" name="Button 731">
              <controlPr locked="0" defaultSize="0" print="0" autoFill="0" autoPict="0" macro="[1]!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756" r:id="rId734" name="Button 732">
              <controlPr locked="0" defaultSize="0" print="0" autoFill="0" autoPict="0" macro="[1]!Sheet1.deleteProcedure">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1757" r:id="rId735" name="Button 733">
              <controlPr locked="0" defaultSize="0" print="0" autoFill="0" autoPict="0" macro="[1]!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758" r:id="rId736" name="Button 734">
              <controlPr locked="0" defaultSize="0" print="0" autoFill="0" autoPict="0" macro="[1]!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759" r:id="rId737" name="Button 735">
              <controlPr locked="0" defaultSize="0" print="0" autoFill="0" autoPict="0" macro="[1]!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760" r:id="rId738" name="Button 736">
              <controlPr locked="0" defaultSize="0" print="0" autoFill="0" autoPict="0" macro="[1]!Sheet1.InsertNewTabl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761" r:id="rId739" name="Button 737">
              <controlPr locked="0" defaultSize="0" print="0" autoFill="0" autoPict="0" macro="[1]!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762" r:id="rId740" name="Button 738">
              <controlPr locked="0" defaultSize="0" print="0" autoFill="0" autoPict="0" macro="[1]!Sheet1.deleteProcedure">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1763" r:id="rId741" name="Button 739">
              <controlPr locked="0" defaultSize="0" print="0" autoFill="0" autoPict="0" macro="[1]!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1764" r:id="rId742" name="Button 740">
              <controlPr locked="0" defaultSize="0" print="0" autoFill="0" autoPict="0" macro="[1]!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1765" r:id="rId743" name="Button 741">
              <controlPr locked="0" defaultSize="0" print="0" autoFill="0" autoPict="0" macro="[1]!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1766" r:id="rId744" name="Button 742">
              <controlPr locked="0" defaultSize="0" print="0" autoFill="0" autoPict="0" macro="[1]!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1767" r:id="rId745" name="Button 743">
              <controlPr locked="0" defaultSize="0" print="0" autoFill="0" autoPict="0" macro="[1]!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1768" r:id="rId746" name="Button 744">
              <controlPr locked="0" defaultSize="0" print="0" autoFill="0" autoPict="0" macro="[1]!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1769" r:id="rId747" name="Button 745">
              <controlPr locked="0" defaultSize="0" print="0" autoFill="0" autoPict="0" macro="[1]!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1770" r:id="rId748" name="Button 746">
              <controlPr locked="0" defaultSize="0" print="0" autoFill="0" autoPict="0" macro="[1]!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1771" r:id="rId749" name="Button 747">
              <controlPr locked="0" defaultSize="0" print="0" autoFill="0" autoPict="0" macro="[1]!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1772" r:id="rId750" name="Button 748">
              <controlPr locked="0" defaultSize="0" print="0" autoFill="0" autoPict="0" macro="[1]!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1773" r:id="rId751" name="Button 749">
              <controlPr locked="0" defaultSize="0" print="0" autoFill="0" autoPict="0" macro="[1]!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1774" r:id="rId752" name="Button 750">
              <controlPr locked="0" defaultSize="0" print="0" autoFill="0" autoPict="0" macro="[1]!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775" r:id="rId753" name="Button 751">
              <controlPr locked="0" defaultSize="0" print="0" autoFill="0" autoPict="0" macro="[1]!Sheet1.InsertNewTabl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1776" r:id="rId754" name="Button 752">
              <controlPr locked="0" defaultSize="0" print="0" autoFill="0" autoPict="0" macro="[1]!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777" r:id="rId755" name="Button 753">
              <controlPr locked="0" defaultSize="0" print="0" autoFill="0" autoPict="0" macro="[1]!Sheet1.deleteProcedure">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1778" r:id="rId756" name="Button 754">
              <controlPr locked="0" defaultSize="0" print="0" autoFill="0" autoPict="0" macro="[1]!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779" r:id="rId757" name="Button 755">
              <controlPr locked="0" defaultSize="0" print="0" autoFill="0" autoPict="0" macro="[1]!Sheet1.InsertNewTabl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1780" r:id="rId758" name="Button 756">
              <controlPr locked="0" defaultSize="0" print="0" autoFill="0" autoPict="0" macro="[1]!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781" r:id="rId759" name="Button 757">
              <controlPr locked="0" defaultSize="0" print="0" autoFill="0" autoPict="0" macro="[1]!Sheet1.deleteProcedure">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1782" r:id="rId760" name="Button 758">
              <controlPr locked="0" defaultSize="0" print="0" autoFill="0" autoPict="0" macro="[1]!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1783" r:id="rId761" name="Button 759">
              <controlPr locked="0" defaultSize="0" print="0" autoFill="0" autoPict="0" macro="[1]!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1784" r:id="rId762" name="Button 760">
              <controlPr locked="0" defaultSize="0" print="0" autoFill="0" autoPict="0" macro="[1]!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1785" r:id="rId763" name="Button 761">
              <controlPr locked="0" defaultSize="0" print="0" autoFill="0" autoPict="0" macro="[1]!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1786" r:id="rId764" name="Button 762">
              <controlPr locked="0" defaultSize="0" print="0" autoFill="0" autoPict="0" macro="[1]!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1787" r:id="rId765" name="Button 763">
              <controlPr locked="0" defaultSize="0" print="0" autoFill="0" autoPict="0" macro="[1]!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1788" r:id="rId766" name="Button 764">
              <controlPr locked="0" defaultSize="0" print="0" autoFill="0" autoPict="0" macro="[1]!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1789" r:id="rId767" name="Button 765">
              <controlPr locked="0" defaultSize="0" print="0" autoFill="0" autoPict="0" macro="[1]!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1790" r:id="rId768" name="Button 766">
              <controlPr locked="0" defaultSize="0" print="0" autoFill="0" autoPict="0" macro="[1]!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1791" r:id="rId769" name="Button 767">
              <controlPr locked="0" defaultSize="0" print="0" autoFill="0" autoPict="0" macro="[1]!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1792" r:id="rId770" name="Button 768">
              <controlPr locked="0" defaultSize="0" print="0" autoFill="0" autoPict="0" macro="[1]!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793" r:id="rId771" name="Button 769">
              <controlPr locked="0" defaultSize="0" print="0" autoFill="0" autoPict="0" macro="[1]!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1794" r:id="rId772" name="Button 770">
              <controlPr locked="0" defaultSize="0" print="0" autoFill="0" autoPict="0" macro="[1]!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1795" r:id="rId773" name="Button 771">
              <controlPr locked="0" defaultSize="0" print="0" autoFill="0" autoPict="0" macro="[1]!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1796" r:id="rId774" name="Button 772">
              <controlPr locked="0" defaultSize="0" print="0" autoFill="0" autoPict="0" macro="[1]!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1797" r:id="rId775" name="Button 773">
              <controlPr locked="0" defaultSize="0" print="0" autoFill="0" autoPict="0" macro="[1]!Sheet1.InsertNewTabl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1798" r:id="rId776" name="Button 774">
              <controlPr locked="0" defaultSize="0" print="0" autoFill="0" autoPict="0" macro="[1]!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1799" r:id="rId777" name="Button 775">
              <controlPr locked="0" defaultSize="0" print="0" autoFill="0" autoPict="0" macro="[1]!Sheet1.deleteProcedure">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1800" r:id="rId778" name="Button 776">
              <controlPr locked="0" defaultSize="0" print="0" autoFill="0" autoPict="0" macro="[1]!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1801" r:id="rId779" name="Button 777">
              <controlPr locked="0" defaultSize="0" print="0" autoFill="0" autoPict="0" macro="[1]!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1802" r:id="rId780" name="Button 778">
              <controlPr locked="0" defaultSize="0" print="0" autoFill="0" autoPict="0" macro="[1]!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803" r:id="rId781" name="Button 779">
              <controlPr locked="0" defaultSize="0" print="0" autoFill="0" autoPict="0" macro="[1]!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804" r:id="rId782" name="Button 780">
              <controlPr locked="0" defaultSize="0" print="0" autoFill="0" autoPict="0" macro="[1]!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1805" r:id="rId783" name="Button 781">
              <controlPr locked="0" defaultSize="0" print="0" autoFill="0" autoPict="0" macro="[1]!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1806" r:id="rId784" name="Button 782">
              <controlPr locked="0" defaultSize="0" print="0" autoFill="0" autoPict="0" macro="[1]!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1807" r:id="rId785" name="Button 783">
              <controlPr locked="0" defaultSize="0" print="0" autoFill="0" autoPict="0" macro="[1]!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1808" r:id="rId786" name="Button 784">
              <controlPr locked="0" defaultSize="0" print="0" autoFill="0" autoPict="0" macro="[1]!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1809" r:id="rId787" name="Button 785">
              <controlPr locked="0" defaultSize="0" print="0" autoFill="0" autoPict="0" macro="[1]!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1810" r:id="rId788" name="Button 786">
              <controlPr locked="0" defaultSize="0" print="0" autoFill="0" autoPict="0" macro="[1]!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1811" r:id="rId789" name="Button 787">
              <controlPr locked="0" defaultSize="0" print="0" autoFill="0" autoPict="0" macro="[1]!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1812" r:id="rId790" name="Button 788">
              <controlPr locked="0" defaultSize="0" print="0" autoFill="0" autoPict="0" macro="[1]!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1813" r:id="rId791" name="Button 789">
              <controlPr locked="0" defaultSize="0" print="0" autoFill="0" autoPict="0" macro="[1]!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1814" r:id="rId792" name="Button 790">
              <controlPr locked="0" defaultSize="0" print="0" autoFill="0" autoPict="0" macro="[1]!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815" r:id="rId793" name="Button 791">
              <controlPr locked="0" defaultSize="0" print="0" autoFill="0" autoPict="0" macro="[1]!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816" r:id="rId794" name="Button 792">
              <controlPr locked="0" defaultSize="0" print="0" autoFill="0" autoPict="0" macro="[1]!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1817" r:id="rId795" name="Button 793">
              <controlPr locked="0" defaultSize="0" print="0" autoFill="0" autoPict="0" macro="[1]!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818" r:id="rId796" name="Button 794">
              <controlPr locked="0" defaultSize="0" print="0" autoFill="0" autoPict="0" macro="[1]!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1819" r:id="rId797" name="Button 795">
              <controlPr locked="0" defaultSize="0" print="0" autoFill="0" autoPict="0" macro="[1]!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1820" r:id="rId798" name="Button 796">
              <controlPr locked="0" defaultSize="0" print="0" autoFill="0" autoPict="0" macro="[1]!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1821" r:id="rId799" name="Button 797">
              <controlPr locked="0" defaultSize="0" print="0" autoFill="0" autoPict="0" macro="[1]!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1822" r:id="rId800" name="Button 798">
              <controlPr locked="0" defaultSize="0" print="0" autoFill="0" autoPict="0" macro="[1]!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1823" r:id="rId801" name="Button 799">
              <controlPr locked="0" defaultSize="0" print="0" autoFill="0" autoPict="0" macro="[1]!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1824" r:id="rId802" name="Button 800">
              <controlPr locked="0" defaultSize="0" print="0" autoFill="0" autoPict="0" macro="[1]!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1825" r:id="rId803" name="Button 801">
              <controlPr locked="0" defaultSize="0" print="0" autoFill="0" autoPict="0" macro="[1]!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1826" r:id="rId804" name="Button 802">
              <controlPr locked="0" defaultSize="0" print="0" autoFill="0" autoPict="0" macro="[1]!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1827" r:id="rId805" name="Button 803">
              <controlPr locked="0" defaultSize="0" print="0" autoFill="0" autoPict="0" macro="[1]!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828" r:id="rId806" name="Button 804">
              <controlPr locked="0" defaultSize="0" print="0" autoFill="0" autoPict="0" macro="[1]!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829" r:id="rId807" name="Button 805">
              <controlPr locked="0" defaultSize="0" print="0" autoFill="0" autoPict="0" macro="[1]!Sheet1.InsertNewTabl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1830" r:id="rId808" name="Button 806">
              <controlPr locked="0" defaultSize="0" print="0" autoFill="0" autoPict="0" macro="[1]!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1831" r:id="rId809" name="Button 807">
              <controlPr locked="0" defaultSize="0" print="0" autoFill="0" autoPict="0" macro="[1]!Sheet1.deleteProcedure">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1832" r:id="rId810" name="Button 808">
              <controlPr locked="0" defaultSize="0" print="0" autoFill="0" autoPict="0" macro="[1]!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1833" r:id="rId811" name="Button 809">
              <controlPr locked="0" defaultSize="0" print="0" autoFill="0" autoPict="0" macro="[1]!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1834" r:id="rId812" name="Button 810">
              <controlPr locked="0" defaultSize="0" print="0" autoFill="0" autoPict="0" macro="[1]!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1835" r:id="rId813" name="Button 811">
              <controlPr locked="0" defaultSize="0" print="0" autoFill="0" autoPict="0" macro="[1]!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1836" r:id="rId814" name="Button 812">
              <controlPr locked="0" defaultSize="0" print="0" autoFill="0" autoPict="0" macro="[1]!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1837" r:id="rId815" name="Button 813">
              <controlPr locked="0" defaultSize="0" print="0" autoFill="0" autoPict="0" macro="[1]!Sheet1.InsertNewTabl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1838" r:id="rId816" name="Button 814">
              <controlPr locked="0" defaultSize="0" print="0" autoFill="0" autoPict="0" macro="[1]!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1839" r:id="rId817" name="Button 815">
              <controlPr locked="0" defaultSize="0" print="0" autoFill="0" autoPict="0" macro="[1]!Sheet1.deleteProcedure">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1840" r:id="rId818" name="Button 816">
              <controlPr locked="0" defaultSize="0" print="0" autoFill="0" autoPict="0" macro="[1]!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1841" r:id="rId819" name="Button 817">
              <controlPr locked="0" defaultSize="0" print="0" autoFill="0" autoPict="0" macro="[1]!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1842" r:id="rId820" name="Button 818">
              <controlPr locked="0" defaultSize="0" print="0" autoFill="0" autoPict="0" macro="[1]!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1843" r:id="rId821" name="Button 819">
              <controlPr locked="0" defaultSize="0" print="0" autoFill="0" autoPict="0" macro="[1]!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1844" r:id="rId822" name="Button 820">
              <controlPr locked="0" defaultSize="0" print="0" autoFill="0" autoPict="0" macro="[1]!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1845" r:id="rId823" name="Button 821">
              <controlPr locked="0" defaultSize="0" print="0" autoFill="0" autoPict="0" macro="[1]!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1846" r:id="rId824" name="Button 822">
              <controlPr locked="0" defaultSize="0" print="0" autoFill="0" autoPict="0" macro="[1]!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1847" r:id="rId825" name="Button 823">
              <controlPr locked="0" defaultSize="0" print="0" autoFill="0" autoPict="0" macro="[1]!Sheet1.InsertNewTabl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1848" r:id="rId826" name="Button 824">
              <controlPr locked="0" defaultSize="0" print="0" autoFill="0" autoPict="0" macro="[1]!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1849" r:id="rId827" name="Button 825">
              <controlPr locked="0" defaultSize="0" print="0" autoFill="0" autoPict="0" macro="[1]!Sheet1.deleteProcedure">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1850" r:id="rId828" name="Button 826">
              <controlPr locked="0" defaultSize="0" print="0" autoFill="0" autoPict="0" macro="[1]!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1851" r:id="rId829" name="Button 827">
              <controlPr locked="0" defaultSize="0" print="0" autoFill="0" autoPict="0" macro="[1]!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1852" r:id="rId830" name="Button 828">
              <controlPr locked="0" defaultSize="0" print="0" autoFill="0" autoPict="0" macro="[1]!Sheet1.InsertNewTabl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1853" r:id="rId831" name="Button 829">
              <controlPr locked="0" defaultSize="0" print="0" autoFill="0" autoPict="0" macro="[1]!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1854" r:id="rId832" name="Button 830">
              <controlPr locked="0" defaultSize="0" print="0" autoFill="0" autoPict="0" macro="[1]!Sheet1.deleteProcedure">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1855" r:id="rId833" name="Button 831">
              <controlPr locked="0" defaultSize="0" print="0" autoFill="0" autoPict="0" macro="[1]!Sheet1.InsertNewTabl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1856" r:id="rId834" name="Button 832">
              <controlPr locked="0" defaultSize="0" print="0" autoFill="0" autoPict="0" macro="[1]!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1857" r:id="rId835" name="Button 833">
              <controlPr locked="0" defaultSize="0" print="0" autoFill="0" autoPict="0" macro="[1]!Sheet1.deleteProcedure">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1858" r:id="rId836" name="Button 834">
              <controlPr locked="0" defaultSize="0" print="0" autoFill="0" autoPict="0" macro="[1]!Sheet1.InsertNewTabl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1859" r:id="rId837" name="Button 835">
              <controlPr locked="0" defaultSize="0" print="0" autoFill="0" autoPict="0" macro="[1]!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1860" r:id="rId838" name="Button 836">
              <controlPr locked="0" defaultSize="0" print="0" autoFill="0" autoPict="0" macro="[1]!Sheet1.deleteProcedure">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1861" r:id="rId839" name="Button 837">
              <controlPr locked="0" defaultSize="0" print="0" autoFill="0" autoPict="0" macro="[1]!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1862" r:id="rId840" name="Button 838">
              <controlPr locked="0" defaultSize="0" print="0" autoFill="0" autoPict="0" macro="[1]!Sheet1.InsertNewTabl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1863" r:id="rId841" name="Button 839">
              <controlPr locked="0" defaultSize="0" print="0" autoFill="0" autoPict="0" macro="[1]!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1864" r:id="rId842" name="Button 840">
              <controlPr locked="0" defaultSize="0" print="0" autoFill="0" autoPict="0" macro="[1]!Sheet1.deleteProcedure">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1865" r:id="rId843" name="Button 841">
              <controlPr locked="0" defaultSize="0" print="0" autoFill="0" autoPict="0" macro="[1]!Sheet1.InsertNewTabl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1866" r:id="rId844" name="Button 842">
              <controlPr locked="0" defaultSize="0" print="0" autoFill="0" autoPict="0" macro="[1]!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1867" r:id="rId845" name="Button 843">
              <controlPr locked="0" defaultSize="0" print="0" autoFill="0" autoPict="0" macro="[1]!Sheet1.deleteProcedure">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1868" r:id="rId846" name="Button 844">
              <controlPr locked="0" defaultSize="0" print="0" autoFill="0" autoPict="0" macro="[1]!Sheet1.InsertNewTabl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1869" r:id="rId847" name="Button 845">
              <controlPr locked="0" defaultSize="0" print="0" autoFill="0" autoPict="0" macro="[1]!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1870" r:id="rId848" name="Button 846">
              <controlPr locked="0" defaultSize="0" print="0" autoFill="0" autoPict="0" macro="[1]!Sheet1.deleteProcedure">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1871" r:id="rId849" name="Button 847">
              <controlPr locked="0" defaultSize="0" print="0" autoFill="0" autoPict="0" macro="[1]!Sheet1.InsertNewTabl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1872" r:id="rId850" name="Button 848">
              <controlPr locked="0" defaultSize="0" print="0" autoFill="0" autoPict="0" macro="[1]!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1873" r:id="rId851" name="Button 849">
              <controlPr locked="0" defaultSize="0" print="0" autoFill="0" autoPict="0" macro="[1]!Sheet1.deleteProcedure">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1874" r:id="rId852" name="Button 850">
              <controlPr locked="0" defaultSize="0" print="0" autoFill="0" autoPict="0" macro="[1]!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1875" r:id="rId853" name="Button 851">
              <controlPr locked="0" defaultSize="0" print="0" autoFill="0" autoPict="0" macro="[1]!Sheet1.InsertNewTabl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1876" r:id="rId854" name="Button 852">
              <controlPr locked="0" defaultSize="0" print="0" autoFill="0" autoPict="0" macro="[1]!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1877" r:id="rId855" name="Button 853">
              <controlPr locked="0" defaultSize="0" print="0" autoFill="0" autoPict="0" macro="[1]!Sheet1.deleteProcedure">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1878" r:id="rId856" name="Button 854">
              <controlPr locked="0" defaultSize="0" print="0" autoFill="0" autoPict="0" macro="[1]!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1879" r:id="rId857" name="Button 855">
              <controlPr locked="0" defaultSize="0" print="0" autoFill="0" autoPict="0" macro="[1]!Sheet1.InsertNewTabl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1880" r:id="rId858" name="Button 856">
              <controlPr locked="0" defaultSize="0" print="0" autoFill="0" autoPict="0" macro="[1]!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1881" r:id="rId859" name="Button 857">
              <controlPr locked="0" defaultSize="0" print="0" autoFill="0" autoPict="0" macro="[1]!Sheet1.deleteProcedure">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1882" r:id="rId860" name="Button 858">
              <controlPr locked="0" defaultSize="0" print="0" autoFill="0" autoPict="0" macro="[1]!Sheet1.InsertNewTabl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1883" r:id="rId861" name="Button 859">
              <controlPr locked="0" defaultSize="0" print="0" autoFill="0" autoPict="0" macro="[1]!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1884" r:id="rId862" name="Button 860">
              <controlPr locked="0" defaultSize="0" print="0" autoFill="0" autoPict="0" macro="[1]!Sheet1.deleteProcedure">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1885" r:id="rId863" name="Button 861">
              <controlPr locked="0" defaultSize="0" print="0" autoFill="0" autoPict="0" macro="[1]!Sheet1.InsertNewTabl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1886" r:id="rId864" name="Button 862">
              <controlPr locked="0" defaultSize="0" print="0" autoFill="0" autoPict="0" macro="[1]!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1887" r:id="rId865" name="Button 863">
              <controlPr locked="0" defaultSize="0" print="0" autoFill="0" autoPict="0" macro="[1]!Sheet1.deleteProcedure">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1888" r:id="rId866" name="Button 864">
              <controlPr locked="0" defaultSize="0" print="0" autoFill="0" autoPict="0" macro="[1]!Sheet1.InsertNewTabl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1889" r:id="rId867" name="Button 865">
              <controlPr locked="0" defaultSize="0" print="0" autoFill="0" autoPict="0" macro="[1]!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1890" r:id="rId868" name="Button 866">
              <controlPr locked="0" defaultSize="0" print="0" autoFill="0" autoPict="0" macro="[1]!Sheet1.deleteProcedure">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1891" r:id="rId869" name="Button 867">
              <controlPr locked="0" defaultSize="0" print="0" autoFill="0" autoPict="0" macro="[1]!Sheet1.InsertNewTabl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1892" r:id="rId870" name="Button 868">
              <controlPr locked="0" defaultSize="0" print="0" autoFill="0" autoPict="0" macro="[1]!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1893" r:id="rId871" name="Button 869">
              <controlPr locked="0" defaultSize="0" print="0" autoFill="0" autoPict="0" macro="[1]!Sheet1.deleteProcedure">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1894" r:id="rId872" name="Button 870">
              <controlPr locked="0" defaultSize="0" print="0" autoFill="0" autoPict="0" macro="[1]!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1895" r:id="rId873" name="Button 871">
              <controlPr locked="0" defaultSize="0" print="0" autoFill="0" autoPict="0" macro="[1]!Sheet1.InsertNewTabl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1896" r:id="rId874" name="Button 872">
              <controlPr locked="0" defaultSize="0" print="0" autoFill="0" autoPict="0" macro="[1]!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1897" r:id="rId875" name="Button 873">
              <controlPr locked="0" defaultSize="0" print="0" autoFill="0" autoPict="0" macro="[1]!Sheet1.deleteProcedure">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1898" r:id="rId876" name="Button 874">
              <controlPr locked="0" defaultSize="0" print="0" autoFill="0" autoPict="0" macro="[1]!Sheet1.InsertNewTabl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1899" r:id="rId877" name="Button 875">
              <controlPr locked="0" defaultSize="0" print="0" autoFill="0" autoPict="0" macro="[1]!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1900" r:id="rId878" name="Button 876">
              <controlPr locked="0" defaultSize="0" print="0" autoFill="0" autoPict="0" macro="[1]!Sheet1.deleteProcedure">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1901" r:id="rId879" name="Button 877">
              <controlPr locked="0" defaultSize="0" print="0" autoFill="0" autoPict="0" macro="[1]!Sheet1.InsertNewTabl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1902" r:id="rId880" name="Button 878">
              <controlPr locked="0" defaultSize="0" print="0" autoFill="0" autoPict="0" macro="[1]!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1903" r:id="rId881" name="Button 879">
              <controlPr locked="0" defaultSize="0" print="0" autoFill="0" autoPict="0" macro="[1]!Sheet1.deleteProcedure">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1904" r:id="rId882" name="Button 880">
              <controlPr locked="0" defaultSize="0" print="0" autoFill="0" autoPict="0" macro="[1]!Sheet1.InsertNewTabl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1905" r:id="rId883" name="Button 881">
              <controlPr locked="0" defaultSize="0" print="0" autoFill="0" autoPict="0" macro="[1]!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1906" r:id="rId884" name="Button 882">
              <controlPr locked="0" defaultSize="0" print="0" autoFill="0" autoPict="0" macro="[1]!Sheet1.deleteProcedure">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1907" r:id="rId885" name="Button 883">
              <controlPr locked="0" defaultSize="0" print="0" autoFill="0" autoPict="0" macro="[1]!Sheet1.InsertNewTabl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1908" r:id="rId886" name="Button 884">
              <controlPr locked="0" defaultSize="0" print="0" autoFill="0" autoPict="0" macro="[1]!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1909" r:id="rId887" name="Button 885">
              <controlPr locked="0" defaultSize="0" print="0" autoFill="0" autoPict="0" macro="[1]!Sheet1.deleteProcedure">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1910" r:id="rId888" name="Button 886">
              <controlPr locked="0" defaultSize="0" print="0" autoFill="0" autoPict="0" macro="[1]!Sheet1.InsertNewTabl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1911" r:id="rId889" name="Button 887">
              <controlPr locked="0" defaultSize="0" print="0" autoFill="0" autoPict="0" macro="[1]!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1912" r:id="rId890" name="Button 888">
              <controlPr locked="0" defaultSize="0" print="0" autoFill="0" autoPict="0" macro="[1]!Sheet1.deleteProcedure">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1913" r:id="rId891" name="Button 889">
              <controlPr locked="0" defaultSize="0" print="0" autoFill="0" autoPict="0" macro="[1]!Sheet1.InsertNewTabl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1914" r:id="rId892" name="Button 890">
              <controlPr locked="0" defaultSize="0" print="0" autoFill="0" autoPict="0" macro="[1]!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1915" r:id="rId893" name="Button 891">
              <controlPr locked="0" defaultSize="0" print="0" autoFill="0" autoPict="0" macro="[1]!Sheet1.deleteProcedure">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1916" r:id="rId894" name="Button 892">
              <controlPr locked="0" defaultSize="0" print="0" autoFill="0" autoPict="0" macro="[1]!Sheet1.InsertNewTabl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1917" r:id="rId895" name="Button 893">
              <controlPr locked="0" defaultSize="0" print="0" autoFill="0" autoPict="0" macro="[1]!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1918" r:id="rId896" name="Button 894">
              <controlPr locked="0" defaultSize="0" print="0" autoFill="0" autoPict="0" macro="[1]!Sheet1.deleteProcedure">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1919" r:id="rId897" name="Button 895">
              <controlPr locked="0" defaultSize="0" print="0" autoFill="0" autoPict="0" macro="[1]!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1920" r:id="rId898" name="Button 896">
              <controlPr locked="0" defaultSize="0" print="0" autoFill="0" autoPict="0" macro="[1]!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1921" r:id="rId899" name="Button 897">
              <controlPr locked="0" defaultSize="0" print="0" autoFill="0" autoPict="0" macro="[1]!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1922" r:id="rId900" name="Button 898">
              <controlPr locked="0" defaultSize="0" print="0" autoFill="0" autoPict="0" macro="[1]!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1923" r:id="rId901" name="Button 899">
              <controlPr locked="0" defaultSize="0" print="0" autoFill="0" autoPict="0" macro="[1]!Sheet1.InsertNewTabl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1924" r:id="rId902" name="Button 900">
              <controlPr locked="0" defaultSize="0" print="0" autoFill="0" autoPict="0" macro="[1]!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1925" r:id="rId903" name="Button 901">
              <controlPr locked="0" defaultSize="0" print="0" autoFill="0" autoPict="0" macro="[1]!Sheet1.deleteProcedure">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1926" r:id="rId904" name="Button 902">
              <controlPr locked="0" defaultSize="0" print="0" autoFill="0" autoPict="0" macro="[1]!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1927" r:id="rId905" name="Button 903">
              <controlPr locked="0" defaultSize="0" print="0" autoFill="0" autoPict="0" macro="[1]!Sheet1.InsertNewTabl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1928" r:id="rId906" name="Button 904">
              <controlPr locked="0" defaultSize="0" print="0" autoFill="0" autoPict="0" macro="[1]!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1929" r:id="rId907" name="Button 905">
              <controlPr locked="0" defaultSize="0" print="0" autoFill="0" autoPict="0" macro="[1]!Sheet1.deleteProcedure">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1930" r:id="rId908" name="Button 906">
              <controlPr locked="0" defaultSize="0" print="0" autoFill="0" autoPict="0" macro="[1]!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1931" r:id="rId909" name="Button 907">
              <controlPr locked="0" defaultSize="0" print="0" autoFill="0" autoPict="0" macro="[1]!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1932" r:id="rId910" name="Button 908">
              <controlPr locked="0" defaultSize="0" print="0" autoFill="0" autoPict="0" macro="[1]!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1933" r:id="rId911" name="Button 909">
              <controlPr locked="0" defaultSize="0" print="0" autoFill="0" autoPict="0" macro="[1]!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1934" r:id="rId912" name="Button 910">
              <controlPr locked="0" defaultSize="0" print="0" autoFill="0" autoPict="0" macro="[1]!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1935" r:id="rId913" name="Button 911">
              <controlPr locked="0" defaultSize="0" print="0" autoFill="0" autoPict="0" macro="[1]!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1936" r:id="rId914" name="Button 912">
              <controlPr locked="0" defaultSize="0" print="0" autoFill="0" autoPict="0" macro="[1]!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1937" r:id="rId915" name="Button 913">
              <controlPr locked="0" defaultSize="0" print="0" autoFill="0" autoPict="0" macro="[1]!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1938" r:id="rId916" name="Button 914">
              <controlPr locked="0" defaultSize="0" print="0" autoFill="0" autoPict="0" macro="[1]!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1939" r:id="rId917" name="Button 915">
              <controlPr locked="0" defaultSize="0" print="0" autoFill="0" autoPict="0" macro="[1]!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1940" r:id="rId918" name="Button 916">
              <controlPr locked="0" defaultSize="0" print="0" autoFill="0" autoPict="0" macro="[1]!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1941" r:id="rId919" name="Button 917">
              <controlPr locked="0" defaultSize="0" print="0" autoFill="0" autoPict="0" macro="[1]!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1942" r:id="rId920" name="Button 918">
              <controlPr locked="0" defaultSize="0" print="0" autoFill="0" autoPict="0" macro="[1]!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1943" r:id="rId921" name="Button 919">
              <controlPr locked="0" defaultSize="0" print="0" autoFill="0" autoPict="0" macro="[1]!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1944" r:id="rId922" name="Button 920">
              <controlPr locked="0" defaultSize="0" print="0" autoFill="0" autoPict="0" macro="[1]!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1945" r:id="rId923" name="Button 921">
              <controlPr locked="0" defaultSize="0" print="0" autoFill="0" autoPict="0" macro="[1]!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1946" r:id="rId924" name="Button 922">
              <controlPr locked="0" defaultSize="0" print="0" autoFill="0" autoPict="0" macro="[1]!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1947" r:id="rId925" name="Button 923">
              <controlPr locked="0" defaultSize="0" print="0" autoFill="0" autoPict="0" macro="[1]!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1948" r:id="rId926" name="Button 924">
              <controlPr locked="0" defaultSize="0" print="0" autoFill="0" autoPict="0" macro="[1]!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1949" r:id="rId927" name="Button 925">
              <controlPr locked="0" defaultSize="0" print="0" autoFill="0" autoPict="0" macro="[1]!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1950" r:id="rId928" name="Button 926">
              <controlPr locked="0" defaultSize="0" print="0" autoFill="0" autoPict="0" macro="[1]!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1951" r:id="rId929" name="Button 927">
              <controlPr locked="0" defaultSize="0" print="0" autoFill="0" autoPict="0" macro="[1]!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1952" r:id="rId930" name="Button 928">
              <controlPr locked="0" defaultSize="0" print="0" autoFill="0" autoPict="0" macro="[1]!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1953" r:id="rId931" name="Button 929">
              <controlPr locked="0" defaultSize="0" print="0" autoFill="0" autoPict="0" macro="[1]!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1954" r:id="rId932" name="Button 930">
              <controlPr locked="0" defaultSize="0" print="0" autoFill="0" autoPict="0" macro="[1]!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1955" r:id="rId933" name="Button 931">
              <controlPr locked="0" defaultSize="0" print="0" autoFill="0" autoPict="0" macro="[1]!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1956" r:id="rId934" name="Button 932">
              <controlPr locked="0" defaultSize="0" print="0" autoFill="0" autoPict="0" macro="[1]!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1957" r:id="rId935" name="Button 933">
              <controlPr locked="0" defaultSize="0" print="0" autoFill="0" autoPict="0" macro="[1]!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1958" r:id="rId936" name="Button 934">
              <controlPr locked="0" defaultSize="0" print="0" autoFill="0" autoPict="0" macro="[1]!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1959" r:id="rId937" name="Button 935">
              <controlPr locked="0" defaultSize="0" print="0" autoFill="0" autoPict="0" macro="[1]!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1960" r:id="rId938" name="Button 936">
              <controlPr locked="0" defaultSize="0" print="0" autoFill="0" autoPict="0" macro="[1]!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1961" r:id="rId939" name="Button 937">
              <controlPr locked="0" defaultSize="0" print="0" autoFill="0" autoPict="0" macro="[1]!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1962" r:id="rId940" name="Button 938">
              <controlPr locked="0" defaultSize="0" print="0" autoFill="0" autoPict="0" macro="[1]!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1963" r:id="rId941" name="Button 939">
              <controlPr locked="0" defaultSize="0" print="0" autoFill="0" autoPict="0" macro="[1]!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1964" r:id="rId942" name="Button 940">
              <controlPr locked="0" defaultSize="0" print="0" autoFill="0" autoPict="0" macro="[1]!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1965" r:id="rId943" name="Button 941">
              <controlPr locked="0" defaultSize="0" print="0" autoFill="0" autoPict="0" macro="[1]!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1966" r:id="rId944" name="Button 942">
              <controlPr locked="0" defaultSize="0" print="0" autoFill="0" autoPict="0" macro="[1]!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1967" r:id="rId945" name="Button 943">
              <controlPr locked="0" defaultSize="0" print="0" autoFill="0" autoPict="0" macro="[1]!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1968" r:id="rId946" name="Button 944">
              <controlPr locked="0" defaultSize="0" print="0" autoFill="0" autoPict="0" macro="[1]!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1969" r:id="rId947" name="Button 945">
              <controlPr locked="0" defaultSize="0" print="0" autoFill="0" autoPict="0" macro="[1]!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1970" r:id="rId948" name="Button 946">
              <controlPr locked="0" defaultSize="0" print="0" autoFill="0" autoPict="0" macro="[1]!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1971" r:id="rId949" name="Button 947">
              <controlPr locked="0" defaultSize="0" print="0" autoFill="0" autoPict="0" macro="[1]!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1972" r:id="rId950" name="Button 948">
              <controlPr locked="0" defaultSize="0" print="0" autoFill="0" autoPict="0" macro="[1]!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1973" r:id="rId951" name="Button 949">
              <controlPr locked="0" defaultSize="0" print="0" autoFill="0" autoPict="0" macro="[1]!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1974" r:id="rId952" name="Button 950">
              <controlPr locked="0" defaultSize="0" print="0" autoFill="0" autoPict="0" macro="[1]!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1975" r:id="rId953" name="Button 951">
              <controlPr locked="0" defaultSize="0" print="0" autoFill="0" autoPict="0" macro="[1]!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1976" r:id="rId954" name="Button 952">
              <controlPr locked="0" defaultSize="0" print="0" autoFill="0" autoPict="0" macro="[1]!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1977" r:id="rId955" name="Button 953">
              <controlPr locked="0" defaultSize="0" print="0" autoFill="0" autoPict="0" macro="[1]!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1978" r:id="rId956" name="Button 954">
              <controlPr locked="0" defaultSize="0" print="0" autoFill="0" autoPict="0" macro="[1]!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1979" r:id="rId957" name="Button 955">
              <controlPr locked="0" defaultSize="0" print="0" autoFill="0" autoPict="0" macro="[1]!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1980" r:id="rId958" name="Button 956">
              <controlPr locked="0" defaultSize="0" print="0" autoFill="0" autoPict="0" macro="[1]!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1981" r:id="rId959" name="Button 957">
              <controlPr locked="0" defaultSize="0" print="0" autoFill="0" autoPict="0" macro="[1]!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1982" r:id="rId960" name="Button 958">
              <controlPr locked="0" defaultSize="0" print="0" autoFill="0" autoPict="0" macro="[1]!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1983" r:id="rId961" name="Button 959">
              <controlPr locked="0" defaultSize="0" print="0" autoFill="0" autoPict="0" macro="[1]!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1984" r:id="rId962" name="Button 960">
              <controlPr locked="0" defaultSize="0" print="0" autoFill="0" autoPict="0" macro="[1]!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1985" r:id="rId963" name="Button 961">
              <controlPr locked="0" defaultSize="0" print="0" autoFill="0" autoPict="0" macro="[1]!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1986" r:id="rId964" name="Button 962">
              <controlPr locked="0" defaultSize="0" print="0" autoFill="0" autoPict="0" macro="[1]!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1987" r:id="rId965" name="Button 963">
              <controlPr locked="0" defaultSize="0" print="0" autoFill="0" autoPict="0" macro="[1]!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1988" r:id="rId966" name="Button 964">
              <controlPr locked="0" defaultSize="0" print="0" autoFill="0" autoPict="0" macro="[1]!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1989" r:id="rId967" name="Button 965">
              <controlPr locked="0" defaultSize="0" print="0" autoFill="0" autoPict="0" macro="[1]!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1990" r:id="rId968" name="Button 966">
              <controlPr locked="0" defaultSize="0" print="0" autoFill="0" autoPict="0" macro="[1]!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1991" r:id="rId969" name="Button 967">
              <controlPr locked="0" defaultSize="0" print="0" autoFill="0" autoPict="0" macro="[1]!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1992" r:id="rId970" name="Button 968">
              <controlPr locked="0" defaultSize="0" print="0" autoFill="0" autoPict="0" macro="[1]!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1993" r:id="rId971" name="Button 969">
              <controlPr locked="0" defaultSize="0" print="0" autoFill="0" autoPict="0" macro="[1]!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1994" r:id="rId972" name="Button 970">
              <controlPr locked="0" defaultSize="0" print="0" autoFill="0" autoPict="0" macro="[1]!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1995" r:id="rId973" name="Button 971">
              <controlPr locked="0" defaultSize="0" print="0" autoFill="0" autoPict="0" macro="[1]!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1996" r:id="rId974" name="Button 972">
              <controlPr locked="0" defaultSize="0" print="0" autoFill="0" autoPict="0" macro="[1]!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1997" r:id="rId975" name="Button 973">
              <controlPr locked="0" defaultSize="0" print="0" autoFill="0" autoPict="0" macro="[1]!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1998" r:id="rId976" name="Button 974">
              <controlPr locked="0" defaultSize="0" print="0" autoFill="0" autoPict="0" macro="[1]!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1999" r:id="rId977" name="Button 975">
              <controlPr locked="0" defaultSize="0" print="0" autoFill="0" autoPict="0" macro="[1]!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000" r:id="rId978" name="Button 976">
              <controlPr locked="0" defaultSize="0" print="0" autoFill="0" autoPict="0" macro="[1]!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001" r:id="rId979" name="Button 977">
              <controlPr locked="0" defaultSize="0" print="0" autoFill="0" autoPict="0" macro="[1]!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002" r:id="rId980" name="Button 978">
              <controlPr locked="0" defaultSize="0" print="0" autoFill="0" autoPict="0" macro="[1]!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003" r:id="rId981" name="Button 979">
              <controlPr locked="0" defaultSize="0" print="0" autoFill="0" autoPict="0" macro="[1]!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004" r:id="rId982" name="Button 980">
              <controlPr locked="0" defaultSize="0" print="0" autoFill="0" autoPict="0" macro="[1]!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005" r:id="rId983" name="Button 981">
              <controlPr locked="0" defaultSize="0" print="0" autoFill="0" autoPict="0" macro="[1]!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006" r:id="rId984" name="Button 982">
              <controlPr locked="0" defaultSize="0" print="0" autoFill="0" autoPict="0" macro="[1]!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007" r:id="rId985" name="Button 983">
              <controlPr locked="0" defaultSize="0" print="0" autoFill="0" autoPict="0" macro="[1]!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008" r:id="rId986" name="Button 984">
              <controlPr locked="0" defaultSize="0" print="0" autoFill="0" autoPict="0" macro="[1]!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009" r:id="rId987" name="Button 985">
              <controlPr locked="0" defaultSize="0" print="0" autoFill="0" autoPict="0" macro="[1]!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010" r:id="rId988" name="Button 986">
              <controlPr locked="0" defaultSize="0" print="0" autoFill="0" autoPict="0" macro="[1]!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011" r:id="rId989" name="Button 987">
              <controlPr locked="0" defaultSize="0" print="0" autoFill="0" autoPict="0" macro="[1]!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012" r:id="rId990" name="Button 988">
              <controlPr locked="0" defaultSize="0" print="0" autoFill="0" autoPict="0" macro="[1]!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013" r:id="rId991" name="Button 989">
              <controlPr locked="0" defaultSize="0" print="0" autoFill="0" autoPict="0" macro="[1]!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014" r:id="rId992" name="Button 990">
              <controlPr locked="0" defaultSize="0" print="0" autoFill="0" autoPict="0" macro="[1]!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015" r:id="rId993" name="Button 991">
              <controlPr locked="0" defaultSize="0" print="0" autoFill="0" autoPict="0" macro="[1]!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016" r:id="rId994" name="Button 992">
              <controlPr locked="0" defaultSize="0" print="0" autoFill="0" autoPict="0" macro="[1]!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017" r:id="rId995" name="Button 993">
              <controlPr locked="0" defaultSize="0" print="0" autoFill="0" autoPict="0" macro="[1]!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018" r:id="rId996" name="Button 994">
              <controlPr locked="0" defaultSize="0" print="0" autoFill="0" autoPict="0" macro="[1]!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019" r:id="rId997" name="Button 995">
              <controlPr locked="0" defaultSize="0" print="0" autoFill="0" autoPict="0" macro="[1]!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020" r:id="rId998" name="Button 996">
              <controlPr locked="0" defaultSize="0" print="0" autoFill="0" autoPict="0" macro="[1]!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021" r:id="rId999" name="Button 997">
              <controlPr locked="0" defaultSize="0" print="0" autoFill="0" autoPict="0" macro="[1]!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022" r:id="rId1000" name="Button 998">
              <controlPr locked="0" defaultSize="0" print="0" autoFill="0" autoPict="0" macro="[1]!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023" r:id="rId1001" name="Button 999">
              <controlPr locked="0" defaultSize="0" print="0" autoFill="0" autoPict="0" macro="[1]!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024" r:id="rId1002" name="Button 1000">
              <controlPr locked="0" defaultSize="0" print="0" autoFill="0" autoPict="0" macro="[1]!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025" r:id="rId1003" name="Button 1001">
              <controlPr locked="0" defaultSize="0" print="0" autoFill="0" autoPict="0" macro="[1]!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026" r:id="rId1004" name="Button 1002">
              <controlPr locked="0" defaultSize="0" print="0" autoFill="0" autoPict="0" macro="[1]!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027" r:id="rId1005" name="Button 1003">
              <controlPr locked="0" defaultSize="0" print="0" autoFill="0" autoPict="0" macro="[1]!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028" r:id="rId1006" name="Button 1004">
              <controlPr locked="0" defaultSize="0" print="0" autoFill="0" autoPict="0" macro="[1]!Sheet1.InsertNewTabl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029" r:id="rId1007" name="Button 1005">
              <controlPr locked="0" defaultSize="0" print="0" autoFill="0" autoPict="0" macro="[1]!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030" r:id="rId1008" name="Button 1006">
              <controlPr locked="0" defaultSize="0" print="0" autoFill="0" autoPict="0" macro="[1]!Sheet1.deleteProcedure">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031" r:id="rId1009" name="Button 1007">
              <controlPr locked="0" defaultSize="0" print="0" autoFill="0" autoPict="0" macro="[1]!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032" r:id="rId1010" name="Button 1008">
              <controlPr locked="0" defaultSize="0" print="0" autoFill="0" autoPict="0" macro="[1]!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033" r:id="rId1011" name="Button 1009">
              <controlPr locked="0" defaultSize="0" print="0" autoFill="0" autoPict="0" macro="[1]!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034" r:id="rId1012" name="Button 1010">
              <controlPr locked="0" defaultSize="0" print="0" autoFill="0" autoPict="0" macro="[1]!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035" r:id="rId1013" name="Button 1011">
              <controlPr locked="0" defaultSize="0" print="0" autoFill="0" autoPict="0" macro="[1]!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036" r:id="rId1014" name="Button 1012">
              <controlPr locked="0" defaultSize="0" print="0" autoFill="0" autoPict="0" macro="[1]!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037" r:id="rId1015" name="Button 1013">
              <controlPr locked="0" defaultSize="0" print="0" autoFill="0" autoPict="0" macro="[1]!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038" r:id="rId1016" name="Button 1014">
              <controlPr locked="0" defaultSize="0" print="0" autoFill="0" autoPict="0" macro="[1]!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039" r:id="rId1017" name="Button 1015">
              <controlPr locked="0" defaultSize="0" print="0" autoFill="0" autoPict="0" macro="[1]!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040" r:id="rId1018" name="Button 1016">
              <controlPr locked="0" defaultSize="0" print="0" autoFill="0" autoPict="0" macro="[1]!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041" r:id="rId1019" name="Button 1017">
              <controlPr locked="0" defaultSize="0" print="0" autoFill="0" autoPict="0" macro="[1]!Sheet1.InsertNewTabl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042" r:id="rId1020" name="Button 1018">
              <controlPr locked="0" defaultSize="0" print="0" autoFill="0" autoPict="0" macro="[1]!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043" r:id="rId1021" name="Button 1019">
              <controlPr locked="0" defaultSize="0" print="0" autoFill="0" autoPict="0" macro="[1]!Sheet1.deleteProcedure">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044" r:id="rId1022" name="Button 1020">
              <controlPr locked="0" defaultSize="0" print="0" autoFill="0" autoPict="0" macro="[1]!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045" r:id="rId1023" name="Button 1021">
              <controlPr locked="0" defaultSize="0" print="0" autoFill="0" autoPict="0" macro="[1]!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046" r:id="rId1024" name="Button 1022">
              <controlPr locked="0" defaultSize="0" print="0" autoFill="0" autoPict="0" macro="[1]!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047" r:id="rId1025" name="Button 1023">
              <controlPr locked="0" defaultSize="0" print="0" autoFill="0" autoPict="0" macro="[1]!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048" r:id="rId1026" name="Button 1024">
              <controlPr locked="0" defaultSize="0" print="0" autoFill="0" autoPict="0" macro="[1]!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049" r:id="rId1027" name="Button 1025">
              <controlPr locked="0" defaultSize="0" print="0" autoFill="0" autoPict="0" macro="[1]!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050" r:id="rId1028" name="Button 1026">
              <controlPr locked="0" defaultSize="0" print="0" autoFill="0" autoPict="0" macro="[1]!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051" r:id="rId1029" name="Button 1027">
              <controlPr locked="0" defaultSize="0" print="0" autoFill="0" autoPict="0" macro="[1]!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052" r:id="rId1030" name="Button 1028">
              <controlPr locked="0" defaultSize="0" print="0" autoFill="0" autoPict="0" macro="[1]!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053" r:id="rId1031" name="Button 1029">
              <controlPr locked="0" defaultSize="0" print="0" autoFill="0" autoPict="0" macro="[1]!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054" r:id="rId1032" name="Button 1030">
              <controlPr locked="0" defaultSize="0" print="0" autoFill="0" autoPict="0" macro="[1]!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055" r:id="rId1033" name="Button 1031">
              <controlPr locked="0" defaultSize="0" print="0" autoFill="0" autoPict="0" macro="[1]!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056" r:id="rId1034" name="Button 1032">
              <controlPr locked="0" defaultSize="0" print="0" autoFill="0" autoPict="0" macro="[1]!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057" r:id="rId1035" name="Button 1033">
              <controlPr locked="0" defaultSize="0" print="0" autoFill="0" autoPict="0" macro="[1]!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058" r:id="rId1036" name="Button 1034">
              <controlPr locked="0" defaultSize="0" print="0" autoFill="0" autoPict="0" macro="[1]!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059" r:id="rId1037" name="Button 1035">
              <controlPr locked="0" defaultSize="0" print="0" autoFill="0" autoPict="0" macro="[1]!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060" r:id="rId1038" name="Button 1036">
              <controlPr locked="0" defaultSize="0" print="0" autoFill="0" autoPict="0" macro="[1]!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061" r:id="rId1039" name="Button 1037">
              <controlPr locked="0" defaultSize="0" print="0" autoFill="0" autoPict="0" macro="[1]!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062" r:id="rId1040" name="Button 1038">
              <controlPr locked="0" defaultSize="0" print="0" autoFill="0" autoPict="0" macro="[1]!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063" r:id="rId1041" name="Button 1039">
              <controlPr locked="0" defaultSize="0" print="0" autoFill="0" autoPict="0" macro="[1]!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064" r:id="rId1042" name="Button 1040">
              <controlPr locked="0" defaultSize="0" print="0" autoFill="0" autoPict="0" macro="[1]!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065" r:id="rId1043" name="Button 1041">
              <controlPr locked="0" defaultSize="0" print="0" autoFill="0" autoPict="0" macro="[1]!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066" r:id="rId1044" name="Button 1042">
              <controlPr locked="0" defaultSize="0" print="0" autoFill="0" autoPict="0" macro="[1]!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067" r:id="rId1045" name="Button 1043">
              <controlPr locked="0" defaultSize="0" print="0" autoFill="0" autoPict="0" macro="[1]!Sheet1.InsertNewTabl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068" r:id="rId1046" name="Button 1044">
              <controlPr locked="0" defaultSize="0" print="0" autoFill="0" autoPict="0" macro="[1]!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2069" r:id="rId1047" name="Button 1045">
              <controlPr locked="0" defaultSize="0" print="0" autoFill="0" autoPict="0" macro="[1]!Sheet1.deleteProcedure">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070" r:id="rId1048" name="Button 1046">
              <controlPr locked="0" defaultSize="0" print="0" autoFill="0" autoPict="0" macro="[1]!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071" r:id="rId1049" name="Button 1047">
              <controlPr locked="0" defaultSize="0" print="0" autoFill="0" autoPict="0" macro="[1]!Sheet1.InsertNewTabl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072" r:id="rId1050" name="Button 1048">
              <controlPr locked="0" defaultSize="0" print="0" autoFill="0" autoPict="0" macro="[1]!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2073" r:id="rId1051" name="Button 1049">
              <controlPr locked="0" defaultSize="0" print="0" autoFill="0" autoPict="0" macro="[1]!Sheet1.deleteProcedure">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074" r:id="rId1052" name="Button 1050">
              <controlPr locked="0" defaultSize="0" print="0" autoFill="0" autoPict="0" macro="[1]!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075" r:id="rId1053" name="Button 1051">
              <controlPr locked="0" defaultSize="0" print="0" autoFill="0" autoPict="0" macro="[1]!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2076" r:id="rId1054" name="Button 1052">
              <controlPr locked="0" defaultSize="0" print="0" autoFill="0" autoPict="0" macro="[1]!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077" r:id="rId1055" name="Button 1053">
              <controlPr locked="0" defaultSize="0" print="0" autoFill="0" autoPict="0" macro="[1]!Sheet1.deleteRow">
                <anchor moveWithCells="1" sizeWithCells="1">
                  <from>
                    <xdr:col>6</xdr:col>
                    <xdr:colOff>0</xdr:colOff>
                    <xdr:row>2264</xdr:row>
                    <xdr:rowOff>0</xdr:rowOff>
                  </from>
                  <to>
                    <xdr:col>10</xdr:col>
                    <xdr:colOff>0</xdr:colOff>
                    <xdr:row>2265</xdr:row>
                    <xdr:rowOff>0</xdr:rowOff>
                  </to>
                </anchor>
              </controlPr>
            </control>
          </mc:Choice>
        </mc:AlternateContent>
        <mc:AlternateContent xmlns:mc="http://schemas.openxmlformats.org/markup-compatibility/2006">
          <mc:Choice Requires="x14">
            <control shapeId="2078" r:id="rId1056" name="Button 1054">
              <controlPr locked="0" defaultSize="0" print="0" autoFill="0" autoPict="0" macro="[1]!Sheet1.delet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079" r:id="rId1057" name="Button 1055">
              <controlPr locked="0" defaultSize="0" print="0" autoFill="0" autoPict="0" macro="[1]!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080" r:id="rId1058" name="Button 1056">
              <controlPr locked="0" defaultSize="0" print="0" autoFill="0" autoPict="0" macro="[1]!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081" r:id="rId1059" name="Button 1057">
              <controlPr locked="0" defaultSize="0" print="0" autoFill="0" autoPict="0" macro="[1]!Sheet1.delet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082" r:id="rId1060" name="Button 1058">
              <controlPr locked="0" defaultSize="0" print="0" autoFill="0" autoPict="0" macro="[1]!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083" r:id="rId1061" name="Button 1059">
              <controlPr locked="0" defaultSize="0" print="0" autoFill="0" autoPict="0" macro="[1]!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084" r:id="rId1062" name="Button 1060">
              <controlPr locked="0" defaultSize="0" print="0" autoFill="0" autoPict="0" macro="[1]!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2085" r:id="rId1063" name="Button 1061">
              <controlPr locked="0" defaultSize="0" print="0" autoFill="0" autoPict="0" macro="[1]!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086" r:id="rId1064" name="Button 1062">
              <controlPr locked="0" defaultSize="0" print="0" autoFill="0" autoPict="0" macro="[1]!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087" r:id="rId1065" name="Button 1063">
              <controlPr locked="0" defaultSize="0" print="0" autoFill="0" autoPict="0" macro="[1]!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2088" r:id="rId1066" name="Button 1064">
              <controlPr locked="0" defaultSize="0" print="0" autoFill="0" autoPict="0" macro="[1]!Sheet1.delet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2089" r:id="rId1067" name="Button 1065">
              <controlPr locked="0" defaultSize="0" print="0" autoFill="0" autoPict="0" macro="[1]!Sheet1.delet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090" r:id="rId1068" name="Button 1066">
              <controlPr locked="0" defaultSize="0" print="0" autoFill="0" autoPict="0" macro="[1]!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091" r:id="rId1069" name="Button 1067">
              <controlPr locked="0" defaultSize="0" print="0" autoFill="0" autoPict="0" macro="[1]!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2092" r:id="rId1070" name="Button 1068">
              <controlPr locked="0" defaultSize="0" print="0" autoFill="0" autoPict="0" macro="[1]!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093" r:id="rId1071" name="Button 1069">
              <controlPr locked="0" defaultSize="0" print="0" autoFill="0" autoPict="0" macro="[1]!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094" r:id="rId1072" name="Button 1070">
              <controlPr locked="0" defaultSize="0" print="0" autoFill="0" autoPict="0" macro="[1]!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095" r:id="rId1073" name="Button 1071">
              <controlPr locked="0" defaultSize="0" print="0" autoFill="0" autoPict="0" macro="[1]!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096" r:id="rId1074" name="Button 1072">
              <controlPr locked="0" defaultSize="0" print="0" autoFill="0" autoPict="0" macro="[1]!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097" r:id="rId1075" name="Button 1073">
              <controlPr locked="0" defaultSize="0" print="0" autoFill="0" autoPict="0" macro="[1]!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098" r:id="rId1076" name="Button 1074">
              <controlPr locked="0" defaultSize="0" print="0" autoFill="0" autoPict="0" macro="[1]!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099" r:id="rId1077" name="Button 1075">
              <controlPr locked="0" defaultSize="0" print="0" autoFill="0" autoPict="0" macro="[1]!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100" r:id="rId1078" name="Button 1076">
              <controlPr locked="0" defaultSize="0" print="0" autoFill="0" autoPict="0" macro="[1]!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101" r:id="rId1079" name="Button 1077">
              <controlPr locked="0" defaultSize="0" print="0" autoFill="0" autoPict="0" macro="[1]!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102" r:id="rId1080" name="Button 1078">
              <controlPr locked="0" defaultSize="0" print="0" autoFill="0" autoPict="0" macro="[1]!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103" r:id="rId1081" name="Button 1079">
              <controlPr locked="0" defaultSize="0" print="0" autoFill="0" autoPict="0" macro="[1]!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104" r:id="rId1082" name="Button 1080">
              <controlPr locked="0" defaultSize="0" print="0" autoFill="0" autoPict="0" macro="[1]!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105" r:id="rId1083" name="Button 1081">
              <controlPr locked="0" defaultSize="0" print="0" autoFill="0" autoPict="0" macro="[1]!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106" r:id="rId1084" name="Button 1082">
              <controlPr locked="0" defaultSize="0" print="0" autoFill="0" autoPict="0" macro="[1]!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2107" r:id="rId1085" name="Button 1083">
              <controlPr locked="0" defaultSize="0" print="0" autoFill="0" autoPict="0" macro="[1]!Sheet1.InsertNewTableRow">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2108" r:id="rId1086" name="Button 1084">
              <controlPr locked="0" defaultSize="0" print="0" autoFill="0" autoPict="0" macro="[1]!Sheet1.deleteRow">
                <anchor moveWithCells="1" sizeWithCells="1">
                  <from>
                    <xdr:col>6</xdr:col>
                    <xdr:colOff>0</xdr:colOff>
                    <xdr:row>2304</xdr:row>
                    <xdr:rowOff>0</xdr:rowOff>
                  </from>
                  <to>
                    <xdr:col>10</xdr:col>
                    <xdr:colOff>0</xdr:colOff>
                    <xdr:row>2305</xdr:row>
                    <xdr:rowOff>0</xdr:rowOff>
                  </to>
                </anchor>
              </controlPr>
            </control>
          </mc:Choice>
        </mc:AlternateContent>
        <mc:AlternateContent xmlns:mc="http://schemas.openxmlformats.org/markup-compatibility/2006">
          <mc:Choice Requires="x14">
            <control shapeId="2109" r:id="rId1087" name="Button 1085">
              <controlPr locked="0" defaultSize="0" print="0" autoFill="0" autoPict="0" macro="[1]!Sheet1.deleteProcedure">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2110" r:id="rId1088" name="Button 1086">
              <controlPr locked="0" defaultSize="0" print="0" autoFill="0" autoPict="0" macro="[1]!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2111" r:id="rId1089" name="Button 1087">
              <controlPr locked="0" defaultSize="0" print="0" autoFill="0" autoPict="0" macro="[1]!Sheet1.delet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112" r:id="rId1090" name="Button 1088">
              <controlPr locked="0" defaultSize="0" print="0" autoFill="0" autoPict="0" macro="[1]!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2113" r:id="rId1091" name="Button 1089">
              <controlPr locked="0" defaultSize="0" print="0" autoFill="0" autoPict="0" macro="[1]!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114" r:id="rId1092" name="Button 1090">
              <controlPr locked="0" defaultSize="0" print="0" autoFill="0" autoPict="0" macro="[1]!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115" r:id="rId1093" name="Button 1091">
              <controlPr locked="0" defaultSize="0" print="0" autoFill="0" autoPict="0" macro="[1]!Sheet1.InsertNewTabl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2116" r:id="rId1094" name="Button 1092">
              <controlPr locked="0" defaultSize="0" print="0" autoFill="0" autoPict="0" macro="[1]!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2117" r:id="rId1095" name="Button 1093">
              <controlPr locked="0" defaultSize="0" print="0" autoFill="0" autoPict="0" macro="[1]!Sheet1.deleteProcedure">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118" r:id="rId1096" name="Button 1094">
              <controlPr locked="0" defaultSize="0" print="0" autoFill="0" autoPict="0" macro="[1]!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2119" r:id="rId1097" name="Button 1095">
              <controlPr locked="0" defaultSize="0" print="0" autoFill="0" autoPict="0" macro="[1]!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2120" r:id="rId1098" name="Button 1096">
              <controlPr locked="0" defaultSize="0" print="0" autoFill="0" autoPict="0" macro="[1]!Sheet1.delet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2121" r:id="rId1099" name="Button 1097">
              <controlPr locked="0" defaultSize="0" print="0" autoFill="0" autoPict="0" macro="[1]!Sheet1.InsertNewTabl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2122" r:id="rId1100" name="Button 1098">
              <controlPr locked="0" defaultSize="0" print="0" autoFill="0" autoPict="0" macro="[1]!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2123" r:id="rId1101" name="Button 1099">
              <controlPr locked="0" defaultSize="0" print="0" autoFill="0" autoPict="0" macro="[1]!Sheet1.deleteProcedure">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2124" r:id="rId1102" name="Button 1100">
              <controlPr locked="0" defaultSize="0" print="0" autoFill="0" autoPict="0" macro="[1]!Sheet1.delet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2125" r:id="rId1103" name="Button 1101">
              <controlPr locked="0" defaultSize="0" print="0" autoFill="0" autoPict="0" macro="[1]!Sheet1.InsertNewTabl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126" r:id="rId1104" name="Button 1102">
              <controlPr locked="0" defaultSize="0" print="0" autoFill="0" autoPict="0" macro="[1]!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127" r:id="rId1105" name="Button 1103">
              <controlPr locked="0" defaultSize="0" print="0" autoFill="0" autoPict="0" macro="[1]!Sheet1.deleteProcedure">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2128" r:id="rId1106" name="Button 1104">
              <controlPr locked="0" defaultSize="0" print="0" autoFill="0" autoPict="0" macro="[1]!Sheet1.InsertNewTabl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129" r:id="rId1107" name="Button 1105">
              <controlPr locked="0" defaultSize="0" print="0" autoFill="0" autoPict="0" macro="[1]!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130" r:id="rId1108" name="Button 1106">
              <controlPr locked="0" defaultSize="0" print="0" autoFill="0" autoPict="0" macro="[1]!Sheet1.deleteProcedure">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131" r:id="rId1109" name="Button 1107">
              <controlPr locked="0" defaultSize="0" print="0" autoFill="0" autoPict="0" macro="[1]!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132" r:id="rId1110" name="Button 1108">
              <controlPr locked="0" defaultSize="0" print="0" autoFill="0" autoPict="0" macro="[1]!Sheet1.InsertNewTabl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133" r:id="rId1111" name="Button 1109">
              <controlPr locked="0" defaultSize="0" print="0" autoFill="0" autoPict="0" macro="[1]!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134" r:id="rId1112" name="Button 1110">
              <controlPr locked="0" defaultSize="0" print="0" autoFill="0" autoPict="0" macro="[1]!Sheet1.deleteProcedure">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135" r:id="rId1113" name="Button 1111">
              <controlPr locked="0" defaultSize="0" print="0" autoFill="0" autoPict="0" macro="[1]!Sheet1.InsertNewTabl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136" r:id="rId1114" name="Button 1112">
              <controlPr locked="0" defaultSize="0" print="0" autoFill="0" autoPict="0" macro="[1]!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137" r:id="rId1115" name="Button 1113">
              <controlPr locked="0" defaultSize="0" print="0" autoFill="0" autoPict="0" macro="[1]!Sheet1.deleteProcedure">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138" r:id="rId1116" name="Button 1114">
              <controlPr locked="0" defaultSize="0" print="0" autoFill="0" autoPict="0" macro="[1]!Sheet1.InsertNewTabl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2139" r:id="rId1117" name="Button 1115">
              <controlPr locked="0" defaultSize="0" print="0" autoFill="0" autoPict="0" macro="[1]!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2140" r:id="rId1118" name="Button 1116">
              <controlPr locked="0" defaultSize="0" print="0" autoFill="0" autoPict="0" macro="[1]!Sheet1.deleteProcedure">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141" r:id="rId1119" name="Button 1117">
              <controlPr locked="0" defaultSize="0" print="0" autoFill="0" autoPict="0" macro="[1]!Sheet1.InsertNewTabl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142" r:id="rId1120" name="Button 1118">
              <controlPr locked="0" defaultSize="0" print="0" autoFill="0" autoPict="0" macro="[1]!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143" r:id="rId1121" name="Button 1119">
              <controlPr locked="0" defaultSize="0" print="0" autoFill="0" autoPict="0" macro="[1]!Sheet1.deleteProcedure">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2144" r:id="rId1122" name="Button 1120">
              <controlPr locked="0" defaultSize="0" print="0" autoFill="0" autoPict="0" macro="[1]!Sheet1.InsertNewTabl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145" r:id="rId1123" name="Button 1121">
              <controlPr locked="0" defaultSize="0" print="0" autoFill="0" autoPict="0" macro="[1]!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146" r:id="rId1124" name="Button 1122">
              <controlPr locked="0" defaultSize="0" print="0" autoFill="0" autoPict="0" macro="[1]!Sheet1.deleteProcedure">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147" r:id="rId1125" name="Button 1123">
              <controlPr locked="0" defaultSize="0" print="0" autoFill="0" autoPict="0" macro="[1]!Sheet1.InsertNewTabl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2148" r:id="rId1126" name="Button 1124">
              <controlPr locked="0" defaultSize="0" print="0" autoFill="0" autoPict="0" macro="[1]!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2149" r:id="rId1127" name="Button 1125">
              <controlPr locked="0" defaultSize="0" print="0" autoFill="0" autoPict="0" macro="[1]!Sheet1.deleteProcedure">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150" r:id="rId1128" name="Button 1126">
              <controlPr locked="0" defaultSize="0" print="0" autoFill="0" autoPict="0" macro="[1]!Sheet1.InsertNewTabl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151" r:id="rId1129" name="Button 1127">
              <controlPr locked="0" defaultSize="0" print="0" autoFill="0" autoPict="0" macro="[1]!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152" r:id="rId1130" name="Button 1128">
              <controlPr locked="0" defaultSize="0" print="0" autoFill="0" autoPict="0" macro="[1]!Sheet1.deleteProcedure">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153" r:id="rId1131" name="Button 1129">
              <controlPr locked="0" defaultSize="0" print="0" autoFill="0" autoPict="0" macro="[1]!Sheet1.InsertNewTabl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2154" r:id="rId1132" name="Button 1130">
              <controlPr locked="0" defaultSize="0" print="0" autoFill="0" autoPict="0" macro="[1]!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155" r:id="rId1133" name="Button 1131">
              <controlPr locked="0" defaultSize="0" print="0" autoFill="0" autoPict="0" macro="[1]!Sheet1.deleteProcedure">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156" r:id="rId1134" name="Button 1132">
              <controlPr locked="0" defaultSize="0" print="0" autoFill="0" autoPict="0" macro="[1]!Sheet1.InsertNewTabl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2157" r:id="rId1135" name="Button 1133">
              <controlPr locked="0" defaultSize="0" print="0" autoFill="0" autoPict="0" macro="[1]!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158" r:id="rId1136" name="Button 1134">
              <controlPr locked="0" defaultSize="0" print="0" autoFill="0" autoPict="0" macro="[1]!Sheet1.deleteProcedure">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2159" r:id="rId1137" name="Button 1135">
              <controlPr locked="0" defaultSize="0" print="0" autoFill="0" autoPict="0" macro="[1]!Sheet1.InsertNewTabl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160" r:id="rId1138" name="Button 1136">
              <controlPr locked="0" defaultSize="0" print="0" autoFill="0" autoPict="0" macro="[1]!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161" r:id="rId1139" name="Button 1137">
              <controlPr locked="0" defaultSize="0" print="0" autoFill="0" autoPict="0" macro="[1]!Sheet1.deleteProcedure">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162" r:id="rId1140" name="Button 1138">
              <controlPr locked="0" defaultSize="0" print="0" autoFill="0" autoPict="0" macro="[1]!Sheet1.InsertNewTabl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163" r:id="rId1141" name="Button 1139">
              <controlPr locked="0" defaultSize="0" print="0" autoFill="0" autoPict="0" macro="[1]!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164" r:id="rId1142" name="Button 1140">
              <controlPr locked="0" defaultSize="0" print="0" autoFill="0" autoPict="0" macro="[1]!Sheet1.deleteProcedure">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165" r:id="rId1143" name="Button 1141">
              <controlPr locked="0" defaultSize="0" print="0" autoFill="0" autoPict="0" macro="[1]!Sheet1.InsertNewTabl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166" r:id="rId1144" name="Button 1142">
              <controlPr locked="0" defaultSize="0" print="0" autoFill="0" autoPict="0" macro="[1]!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167" r:id="rId1145" name="Button 1143">
              <controlPr locked="0" defaultSize="0" print="0" autoFill="0" autoPict="0" macro="[1]!Sheet1.deleteProcedure">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168" r:id="rId1146" name="Button 1144">
              <controlPr locked="0" defaultSize="0" print="0" autoFill="0" autoPict="0" macro="[1]!Sheet1.InsertNewTabl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2169" r:id="rId1147" name="Button 1145">
              <controlPr locked="0" defaultSize="0" print="0" autoFill="0" autoPict="0" macro="[1]!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2170" r:id="rId1148" name="Button 1146">
              <controlPr locked="0" defaultSize="0" print="0" autoFill="0" autoPict="0" macro="[1]!Sheet1.deleteProcedure">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2171" r:id="rId1149" name="Button 1147">
              <controlPr locked="0" defaultSize="0" print="0" autoFill="0" autoPict="0" macro="[1]!Sheet1.InsertNewTabl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2172" r:id="rId1150" name="Button 1148">
              <controlPr locked="0" defaultSize="0" print="0" autoFill="0" autoPict="0" macro="[1]!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2173" r:id="rId1151" name="Button 1149">
              <controlPr locked="0" defaultSize="0" print="0" autoFill="0" autoPict="0" macro="[1]!Sheet1.deleteProcedure">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2174" r:id="rId1152" name="Button 1150">
              <controlPr locked="0" defaultSize="0" print="0" autoFill="0" autoPict="0" macro="[1]!Sheet1.InsertNewTabl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2175" r:id="rId1153" name="Button 1151">
              <controlPr locked="0" defaultSize="0" print="0" autoFill="0" autoPict="0" macro="[1]!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2176" r:id="rId1154" name="Button 1152">
              <controlPr locked="0" defaultSize="0" print="0" autoFill="0" autoPict="0" macro="[1]!Sheet1.deleteProcedure">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177" r:id="rId1155" name="Button 1153">
              <controlPr locked="0" defaultSize="0" print="0" autoFill="0" autoPict="0" macro="[1]!Sheet1.InsertNewTabl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2178" r:id="rId1156" name="Button 1154">
              <controlPr locked="0" defaultSize="0" print="0" autoFill="0" autoPict="0" macro="[1]!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2179" r:id="rId1157" name="Button 1155">
              <controlPr locked="0" defaultSize="0" print="0" autoFill="0" autoPict="0" macro="[1]!Sheet1.deleteProcedure">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2180" r:id="rId1158" name="Button 1156">
              <controlPr locked="0" defaultSize="0" print="0" autoFill="0" autoPict="0" macro="[1]!Sheet1.InsertNewTabl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2181" r:id="rId1159" name="Button 1157">
              <controlPr locked="0" defaultSize="0" print="0" autoFill="0" autoPict="0" macro="[1]!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182" r:id="rId1160" name="Button 1158">
              <controlPr locked="0" defaultSize="0" print="0" autoFill="0" autoPict="0" macro="[1]!Sheet1.deleteProcedure">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2183" r:id="rId1161" name="Button 1159">
              <controlPr locked="0" defaultSize="0" print="0" autoFill="0" autoPict="0" macro="[1]!Sheet1.InsertNewTabl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2184" r:id="rId1162" name="Button 1160">
              <controlPr locked="0" defaultSize="0" print="0" autoFill="0" autoPict="0" macro="[1]!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2185" r:id="rId1163" name="Button 1161">
              <controlPr locked="0" defaultSize="0" print="0" autoFill="0" autoPict="0" macro="[1]!Sheet1.deleteProcedure">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2186" r:id="rId1164" name="Button 1162">
              <controlPr locked="0" defaultSize="0" print="0" autoFill="0" autoPict="0" macro="[1]!Sheet1.InsertNewTabl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187" r:id="rId1165" name="Button 1163">
              <controlPr locked="0" defaultSize="0" print="0" autoFill="0" autoPict="0" macro="[1]!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188" r:id="rId1166" name="Button 1164">
              <controlPr locked="0" defaultSize="0" print="0" autoFill="0" autoPict="0" macro="[1]!Sheet1.deleteProcedure">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189" r:id="rId1167" name="Button 1165">
              <controlPr locked="0" defaultSize="0" print="0" autoFill="0" autoPict="0" macro="[1]!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2190" r:id="rId1168" name="Button 1166">
              <controlPr locked="0" defaultSize="0" print="0" autoFill="0" autoPict="0" macro="[1]!Sheet1.InsertNewTableRow">
                <anchor moveWithCells="1" sizeWithCells="1">
                  <from>
                    <xdr:col>6</xdr:col>
                    <xdr:colOff>0</xdr:colOff>
                    <xdr:row>2577</xdr:row>
                    <xdr:rowOff>0</xdr:rowOff>
                  </from>
                  <to>
                    <xdr:col>10</xdr:col>
                    <xdr:colOff>0</xdr:colOff>
                    <xdr:row>2578</xdr:row>
                    <xdr:rowOff>0</xdr:rowOff>
                  </to>
                </anchor>
              </controlPr>
            </control>
          </mc:Choice>
        </mc:AlternateContent>
        <mc:AlternateContent xmlns:mc="http://schemas.openxmlformats.org/markup-compatibility/2006">
          <mc:Choice Requires="x14">
            <control shapeId="2191" r:id="rId1169" name="Button 1167">
              <controlPr locked="0" defaultSize="0" print="0" autoFill="0" autoPict="0" macro="[1]!Sheet1.deleteRow">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2192" r:id="rId1170" name="Button 1168">
              <controlPr locked="0" defaultSize="0" print="0" autoFill="0" autoPict="0" macro="[1]!Sheet1.deleteProcedure">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2193" r:id="rId1171" name="Button 1169">
              <controlPr locked="0" defaultSize="0" print="0" autoFill="0" autoPict="0" macro="[1]!Sheet1.InsertNewTabl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2194" r:id="rId1172" name="Button 1170">
              <controlPr locked="0" defaultSize="0" print="0" autoFill="0" autoPict="0" macro="[1]!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2195" r:id="rId1173" name="Button 1171">
              <controlPr locked="0" defaultSize="0" print="0" autoFill="0" autoPict="0" macro="[1]!Sheet1.deleteProcedure">
                <anchor moveWithCells="1" sizeWithCells="1">
                  <from>
                    <xdr:col>6</xdr:col>
                    <xdr:colOff>0</xdr:colOff>
                    <xdr:row>2581</xdr:row>
                    <xdr:rowOff>0</xdr:rowOff>
                  </from>
                  <to>
                    <xdr:col>10</xdr:col>
                    <xdr:colOff>0</xdr:colOff>
                    <xdr:row>2582</xdr:row>
                    <xdr:rowOff>0</xdr:rowOff>
                  </to>
                </anchor>
              </controlPr>
            </control>
          </mc:Choice>
        </mc:AlternateContent>
        <mc:AlternateContent xmlns:mc="http://schemas.openxmlformats.org/markup-compatibility/2006">
          <mc:Choice Requires="x14">
            <control shapeId="2196" r:id="rId1174" name="Button 1172">
              <controlPr locked="0" defaultSize="0" print="0" autoFill="0" autoPict="0" macro="[1]!Sheet1.InsertNewTabl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2197" r:id="rId1175" name="Button 1173">
              <controlPr locked="0" defaultSize="0" print="0" autoFill="0" autoPict="0" macro="[1]!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2198" r:id="rId1176" name="Button 1174">
              <controlPr locked="0" defaultSize="0" print="0" autoFill="0" autoPict="0" macro="[1]!Sheet1.deleteProcedure">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2199" r:id="rId1177" name="Button 1175">
              <controlPr locked="0" defaultSize="0" print="0" autoFill="0" autoPict="0" macro="[1]!Sheet1.InsertNewTabl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2200" r:id="rId1178" name="Button 1176">
              <controlPr locked="0" defaultSize="0" print="0" autoFill="0" autoPict="0" macro="[1]!Sheet1.delet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2201" r:id="rId1179" name="Button 1177">
              <controlPr locked="0" defaultSize="0" print="0" autoFill="0" autoPict="0" macro="[1]!Sheet1.deleteProcedure">
                <anchor moveWithCells="1" sizeWithCells="1">
                  <from>
                    <xdr:col>6</xdr:col>
                    <xdr:colOff>0</xdr:colOff>
                    <xdr:row>2603</xdr:row>
                    <xdr:rowOff>0</xdr:rowOff>
                  </from>
                  <to>
                    <xdr:col>10</xdr:col>
                    <xdr:colOff>0</xdr:colOff>
                    <xdr:row>2604</xdr:row>
                    <xdr:rowOff>0</xdr:rowOff>
                  </to>
                </anchor>
              </controlPr>
            </control>
          </mc:Choice>
        </mc:AlternateContent>
        <mc:AlternateContent xmlns:mc="http://schemas.openxmlformats.org/markup-compatibility/2006">
          <mc:Choice Requires="x14">
            <control shapeId="2202" r:id="rId1180" name="Button 1178">
              <controlPr locked="0" defaultSize="0" print="0" autoFill="0" autoPict="0" macro="[1]!Sheet1.InsertNewTableRow">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2203" r:id="rId1181" name="Button 1179">
              <controlPr locked="0" defaultSize="0" print="0" autoFill="0" autoPict="0" macro="[1]!Sheet1.deleteRow">
                <anchor moveWithCells="1" sizeWithCells="1">
                  <from>
                    <xdr:col>6</xdr:col>
                    <xdr:colOff>0</xdr:colOff>
                    <xdr:row>2622</xdr:row>
                    <xdr:rowOff>0</xdr:rowOff>
                  </from>
                  <to>
                    <xdr:col>10</xdr:col>
                    <xdr:colOff>0</xdr:colOff>
                    <xdr:row>2623</xdr:row>
                    <xdr:rowOff>0</xdr:rowOff>
                  </to>
                </anchor>
              </controlPr>
            </control>
          </mc:Choice>
        </mc:AlternateContent>
        <mc:AlternateContent xmlns:mc="http://schemas.openxmlformats.org/markup-compatibility/2006">
          <mc:Choice Requires="x14">
            <control shapeId="2204" r:id="rId1182" name="Button 1180">
              <controlPr locked="0" defaultSize="0" print="0" autoFill="0" autoPict="0" macro="[1]!Sheet1.deleteProcedure">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2205" r:id="rId1183" name="Button 1181">
              <controlPr locked="0" defaultSize="0" print="0" autoFill="0" autoPict="0" macro="[1]!Sheet1.InsertNewTableRow">
                <anchor moveWithCells="1" sizeWithCells="1">
                  <from>
                    <xdr:col>6</xdr:col>
                    <xdr:colOff>0</xdr:colOff>
                    <xdr:row>2632</xdr:row>
                    <xdr:rowOff>0</xdr:rowOff>
                  </from>
                  <to>
                    <xdr:col>10</xdr:col>
                    <xdr:colOff>0</xdr:colOff>
                    <xdr:row>2633</xdr:row>
                    <xdr:rowOff>0</xdr:rowOff>
                  </to>
                </anchor>
              </controlPr>
            </control>
          </mc:Choice>
        </mc:AlternateContent>
        <mc:AlternateContent xmlns:mc="http://schemas.openxmlformats.org/markup-compatibility/2006">
          <mc:Choice Requires="x14">
            <control shapeId="2206" r:id="rId1184" name="Button 1182">
              <controlPr locked="0" defaultSize="0" print="0" autoFill="0" autoPict="0" macro="[1]!Sheet1.deleteRow">
                <anchor moveWithCells="1" sizeWithCells="1">
                  <from>
                    <xdr:col>6</xdr:col>
                    <xdr:colOff>0</xdr:colOff>
                    <xdr:row>2633</xdr:row>
                    <xdr:rowOff>0</xdr:rowOff>
                  </from>
                  <to>
                    <xdr:col>10</xdr:col>
                    <xdr:colOff>0</xdr:colOff>
                    <xdr:row>2634</xdr:row>
                    <xdr:rowOff>0</xdr:rowOff>
                  </to>
                </anchor>
              </controlPr>
            </control>
          </mc:Choice>
        </mc:AlternateContent>
        <mc:AlternateContent xmlns:mc="http://schemas.openxmlformats.org/markup-compatibility/2006">
          <mc:Choice Requires="x14">
            <control shapeId="2207" r:id="rId1185" name="Button 1183">
              <controlPr locked="0" defaultSize="0" print="0" autoFill="0" autoPict="0" macro="[1]!Sheet1.deleteProcedure">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2208" r:id="rId1186" name="Button 1184">
              <controlPr locked="0" defaultSize="0" print="0" autoFill="0" autoPict="0" macro="[1]!Sheet1.InsertNewTableRow">
                <anchor moveWithCells="1" sizeWithCells="1">
                  <from>
                    <xdr:col>6</xdr:col>
                    <xdr:colOff>0</xdr:colOff>
                    <xdr:row>2643</xdr:row>
                    <xdr:rowOff>0</xdr:rowOff>
                  </from>
                  <to>
                    <xdr:col>10</xdr:col>
                    <xdr:colOff>0</xdr:colOff>
                    <xdr:row>2644</xdr:row>
                    <xdr:rowOff>0</xdr:rowOff>
                  </to>
                </anchor>
              </controlPr>
            </control>
          </mc:Choice>
        </mc:AlternateContent>
        <mc:AlternateContent xmlns:mc="http://schemas.openxmlformats.org/markup-compatibility/2006">
          <mc:Choice Requires="x14">
            <control shapeId="2209" r:id="rId1187" name="Button 1185">
              <controlPr locked="0" defaultSize="0" print="0" autoFill="0" autoPict="0" macro="[1]!Sheet1.delet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2210" r:id="rId1188" name="Button 1186">
              <controlPr locked="0" defaultSize="0" print="0" autoFill="0" autoPict="0" macro="[1]!Sheet1.deleteProcedure">
                <anchor moveWithCells="1" sizeWithCells="1">
                  <from>
                    <xdr:col>6</xdr:col>
                    <xdr:colOff>0</xdr:colOff>
                    <xdr:row>2636</xdr:row>
                    <xdr:rowOff>0</xdr:rowOff>
                  </from>
                  <to>
                    <xdr:col>10</xdr:col>
                    <xdr:colOff>0</xdr:colOff>
                    <xdr:row>2637</xdr:row>
                    <xdr:rowOff>0</xdr:rowOff>
                  </to>
                </anchor>
              </controlPr>
            </control>
          </mc:Choice>
        </mc:AlternateContent>
        <mc:AlternateContent xmlns:mc="http://schemas.openxmlformats.org/markup-compatibility/2006">
          <mc:Choice Requires="x14">
            <control shapeId="2211" r:id="rId1189" name="Button 1187">
              <controlPr locked="0" defaultSize="0" print="0" autoFill="0" autoPict="0" macro="[1]!Sheet1.InsertNewTableRow">
                <anchor moveWithCells="1" sizeWithCells="1">
                  <from>
                    <xdr:col>6</xdr:col>
                    <xdr:colOff>0</xdr:colOff>
                    <xdr:row>2654</xdr:row>
                    <xdr:rowOff>0</xdr:rowOff>
                  </from>
                  <to>
                    <xdr:col>10</xdr:col>
                    <xdr:colOff>0</xdr:colOff>
                    <xdr:row>2655</xdr:row>
                    <xdr:rowOff>0</xdr:rowOff>
                  </to>
                </anchor>
              </controlPr>
            </control>
          </mc:Choice>
        </mc:AlternateContent>
        <mc:AlternateContent xmlns:mc="http://schemas.openxmlformats.org/markup-compatibility/2006">
          <mc:Choice Requires="x14">
            <control shapeId="2212" r:id="rId1190" name="Button 1188">
              <controlPr locked="0" defaultSize="0" print="0" autoFill="0" autoPict="0" macro="[1]!Sheet1.deleteRow">
                <anchor moveWithCells="1" sizeWithCells="1">
                  <from>
                    <xdr:col>6</xdr:col>
                    <xdr:colOff>0</xdr:colOff>
                    <xdr:row>2655</xdr:row>
                    <xdr:rowOff>0</xdr:rowOff>
                  </from>
                  <to>
                    <xdr:col>10</xdr:col>
                    <xdr:colOff>0</xdr:colOff>
                    <xdr:row>2656</xdr:row>
                    <xdr:rowOff>0</xdr:rowOff>
                  </to>
                </anchor>
              </controlPr>
            </control>
          </mc:Choice>
        </mc:AlternateContent>
        <mc:AlternateContent xmlns:mc="http://schemas.openxmlformats.org/markup-compatibility/2006">
          <mc:Choice Requires="x14">
            <control shapeId="2213" r:id="rId1191" name="Button 1189">
              <controlPr locked="0" defaultSize="0" print="0" autoFill="0" autoPict="0" macro="[1]!Sheet1.deleteProcedure">
                <anchor moveWithCells="1" sizeWithCells="1">
                  <from>
                    <xdr:col>6</xdr:col>
                    <xdr:colOff>0</xdr:colOff>
                    <xdr:row>2647</xdr:row>
                    <xdr:rowOff>0</xdr:rowOff>
                  </from>
                  <to>
                    <xdr:col>10</xdr:col>
                    <xdr:colOff>0</xdr:colOff>
                    <xdr:row>2648</xdr:row>
                    <xdr:rowOff>0</xdr:rowOff>
                  </to>
                </anchor>
              </controlPr>
            </control>
          </mc:Choice>
        </mc:AlternateContent>
      </controls>
    </mc:Choice>
  </mc:AlternateContent>
  <tableParts count="182">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'[PACC 2023 DIGECOG ANUAL..xlsb]Informacion '!#REF!</xm:f>
          </x14:formula1>
          <xm:sqref>E16 E114 E135 E147 E178 E225 E238 E252 E290 E302 E313 E324 E335 E349 E360 E371 E385 E396 E407 E420 E431 E444 E455 E466 E477 E489 E500 E511 E522 E535 E546 E557 E568 E579 E590 E601 E612 E625 E636 E647 E658 E670 E681 E692 E705 E720 E742 E755 E766 E777 E788 E799 E810 E822 E833 E844 E859 E870 E881 E901 E912 E927 E939 E953 E964 E975 E986 E997 E1009 E1020 E1054 E1070 E1096 E1108 E1135 E1149 E1162 E1173 E1185 E1197 E1208 E1219 E1230 E1241 E1253 E1264 E1280 E1291 E1302 E1313 E1328 E1339 E1350 E1361 E1372 E1383 E1396 E1407 E1418 E1429 E1440 E1451 E1464 E1476 E1487 E1501 E1512 E1526 E1537 E1549 E1561 E1572 E1583 E1594 E1605 E1670 E1684 E1705 E1717 E1746 E1782 E1797 E1813 E1826 E1837 E1848 E1860 E1871 E1882 E1893 E1906 E1918 E1929 E1940 E1951 E1962 E1973 E1984 E1995 E2006 E2017 E2028 E2039 E2051 E2065 E2077 E2187 E2208 E2242 E2254 E2298 E2313 E2327 E2339 E2350 E2362 E2373 E2384 E2395 E2406 E2417 E2428 E2439 E2450 E2461 E2472 E2483 E2494 E2505 E2516 E2527 E2538 E2549 E2560 E2572 E2583 E2594 E2605 E2616 E2627 E2638 E2649</xm:sqref>
        </x14:dataValidation>
        <x14:dataValidation type="list" allowBlank="1" showInputMessage="1" showErrorMessage="1">
          <x14:formula1>
            <xm:f>'[PACC 2023 DIGECOG ANUAL..xlsb]Informacion '!#REF!</xm:f>
          </x14:formula1>
          <xm:sqref>D16 D114 D135 D147 D178 D225 D238 D252 D290 D302 D313 D324 D335 D349 D360 D371 D385 D396 D407 D420 D431 D444 D455 D466 D477 D489 D500 D511 D522 D535 D546 D557 D568 D579 D590 D601 D612 D625 D636 D647 D658 D670 D681 D692 D705 D720 D742 D755 D766 D777 D788 D799 D810 D822 D833 D844 D859 D870 D881 D901 D912 D927 D939 D953 D964 D975 D986 D997 D1009 D1020 D1054 D1070 D1096 D1108 D1135 D1149 D1162 D1173 D1185 D1197 D1208 D1219 D1230 D1241 D1253 D1264 D1280 D1291 D1302 D1313 D1328 D1339 D1350 D1361 D1372 D1383 D1396 D1407 D1418 D1429 D1440 D1451 D1464 D1476 D1487 D1501 D1512 D1526 D1537 D1549 D1561 D1572 D1583 D1594 D1605 D1670 D1684 D1705 D1717 D1746 D1782 D1797 D1813 D1826 D1837 D1848 D1860 D1871 D1882 D1893 D1906 D1918 D1929 D1940 D1951 D1962 D1973 D1984 D1995 D2006 D2017 D2028 D2039 D2051 D2065 D2077 D2187 D2208 D2242 D2254 D2298 D2313 D2327 D2339 D2350 D2362 D2373 D2384 D2395 D2406 D2417 D2428 D2439 D2450 D2461 D2472 D2483 D2494 D2505 D2516 D2527 D2538 D2549 D2560 D2572 D2583 D2594 D2605 D2616 D2627 D2638 D2649</xm:sqref>
        </x14:dataValidation>
        <x14:dataValidation type="list" allowBlank="1" showInputMessage="1" showErrorMessage="1">
          <x14:formula1>
            <xm:f>'[PACC 2023 DIGECOG ANUAL..xlsb]Informacion '!#REF!</xm:f>
          </x14:formula1>
          <xm:sqref>C16 C114 C135 C147 C178 C225 C238 C252 C290 C302 C313 C324 C335 C349 C360 C371 C385 C396 C407 C420 C431 C444 C455 C466 C477 C489 C500 C511 C522 C535 C546 C557 C568 C579 C590 C601 C612 C625 C636 C647 C658 C670 C681 C692 C705 C720 C742 C755 C766 C777 C788 C799 C810 C822 C833 C844 C859 C870 C881 C901 C912 C927 C939 C953 C964 C975 C986 C997 C1009 C1020 C1054 C1070 C1096 C1108 C1135 C1149 C1162 C1173 C1185 C1197 C1208 C1219 C1230 C1241 C1253 C1264 C1280 C1291 C1302 C1313 C1328 C1339 C1350 C1361 C1372 C1383 C1396 C1407 C1418 C1429 C1440 C1451 C1464 C1476 C1487 C1501 C1512 C1526 C1537 C1549 C1561 C1572 C1583 C1594 C1605 C1670 C1684 C1705 C1717 C1746 C1782 C1797 C1813 C1826 C1837 C1848 C1860 C1871 C1882 C1893 C1906 C1918 C1929 C1940 C1951 C1962 C1973 C1984 C1995 C2006 C2017 C2028 C2039 C2051 C2065 C2077 C2187 C2208 C2242 C2254 C2298 C2313 C2327 C2339 C2350 C2362 C2373 C2384 C2395 C2406 C2417 C2428 C2439 C2450 C2461 C2472 C2483 C2494 C2505 C2516 C2527 C2538 C2549 C2560 C2572 C2583 C2594 C2605 C2616 C2627 C2638 C2649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Hoja1</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Carmin Perez Soto</dc:creator>
  <cp:lastModifiedBy>Carmin Perez Soto</cp:lastModifiedBy>
  <dcterms:created xsi:type="dcterms:W3CDTF">2023-03-20T19:41:03Z</dcterms:created>
  <dcterms:modified xsi:type="dcterms:W3CDTF">2023-03-20T19:44:18Z</dcterms:modified>
</cp:coreProperties>
</file>